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heme/themeOverride2.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M:\2 Projekte\7 Internet und Tools ASUE\Tools für die ASUE Seite\Wirtschaftlichkeit von Mini-BHKW\"/>
    </mc:Choice>
  </mc:AlternateContent>
  <workbookProtection workbookAlgorithmName="SHA-512" workbookHashValue="qtiVQl4mRFgj0UFXfBB5NjmlNv8abA22RRq9ojcds42izfbuKTl2TOwSf+uCqECBwt3rOe3iEaH3qH3jROpTAA==" workbookSaltValue="nrH4p109bB3R1xIu+LdifQ==" workbookSpinCount="100000" lockStructure="1"/>
  <bookViews>
    <workbookView xWindow="0" yWindow="-15" windowWidth="28815" windowHeight="13440"/>
  </bookViews>
  <sheets>
    <sheet name="Erläuterungen" sheetId="21" r:id="rId1"/>
    <sheet name="Eingabemaske" sheetId="13" r:id="rId2"/>
    <sheet name="Analyse 1" sheetId="22" r:id="rId3"/>
    <sheet name="Analyse 2" sheetId="11" r:id="rId4"/>
    <sheet name="Wirtschaftlichkeit" sheetId="2" state="hidden" r:id="rId5"/>
    <sheet name="Berechnungen_Lastgang" sheetId="16" state="hidden" r:id="rId6"/>
    <sheet name="Berechnung_Diagramme" sheetId="20" state="hidden" r:id="rId7"/>
  </sheets>
  <externalReferences>
    <externalReference r:id="rId8"/>
  </externalReferences>
  <definedNames>
    <definedName name="_xlnm._FilterDatabase" localSheetId="3" hidden="1">'Analyse 2'!#REF!</definedName>
    <definedName name="_xlnm.Print_Area" localSheetId="1">Eingabemaske!$A$1:$Q$40</definedName>
  </definedNames>
  <calcPr calcId="152511"/>
</workbook>
</file>

<file path=xl/calcChain.xml><?xml version="1.0" encoding="utf-8"?>
<calcChain xmlns="http://schemas.openxmlformats.org/spreadsheetml/2006/main">
  <c r="C60" i="2" l="1"/>
  <c r="B13" i="13" l="1"/>
  <c r="C45" i="2"/>
  <c r="C48" i="2"/>
  <c r="G27" i="2" l="1"/>
  <c r="H20" i="2" l="1"/>
  <c r="B7" i="13" l="1"/>
  <c r="C9" i="2" l="1"/>
  <c r="H9" i="2" s="1"/>
  <c r="W9" i="2" l="1"/>
  <c r="O9" i="2"/>
  <c r="V9" i="2"/>
  <c r="N9" i="2"/>
  <c r="G9" i="2"/>
  <c r="S9" i="2"/>
  <c r="K9" i="2"/>
  <c r="Z9" i="2"/>
  <c r="R9" i="2"/>
  <c r="J9" i="2"/>
  <c r="Y9" i="2"/>
  <c r="U9" i="2"/>
  <c r="Q9" i="2"/>
  <c r="M9" i="2"/>
  <c r="I9" i="2"/>
  <c r="X9" i="2"/>
  <c r="T9" i="2"/>
  <c r="P9" i="2"/>
  <c r="L9" i="2"/>
  <c r="K46" i="20" l="1"/>
  <c r="J46" i="20"/>
  <c r="I46" i="20"/>
  <c r="H46" i="20"/>
  <c r="G46" i="20"/>
  <c r="F46" i="20"/>
  <c r="E46" i="20"/>
  <c r="D46" i="20"/>
  <c r="C46" i="20"/>
  <c r="C35" i="2" l="1"/>
  <c r="G89" i="2" l="1"/>
  <c r="C39" i="20" l="1"/>
  <c r="C11" i="20"/>
  <c r="J48" i="20" s="1"/>
  <c r="H21" i="2"/>
  <c r="C40" i="2" l="1"/>
  <c r="H54" i="2" l="1"/>
  <c r="H55" i="2"/>
  <c r="H7" i="2"/>
  <c r="H8" i="2" s="1"/>
  <c r="H69" i="2"/>
  <c r="H89" i="2" s="1"/>
  <c r="H72" i="2"/>
  <c r="H27" i="2"/>
  <c r="H40" i="2"/>
  <c r="H35" i="2"/>
  <c r="H48" i="2"/>
  <c r="D24" i="20" l="1"/>
  <c r="Q125" i="16"/>
  <c r="W125" i="16" s="1"/>
  <c r="X125" i="16" s="1"/>
  <c r="H10" i="2"/>
  <c r="D39" i="20"/>
  <c r="D11" i="20"/>
  <c r="J51" i="20" s="1"/>
  <c r="H22" i="2"/>
  <c r="H56" i="2"/>
  <c r="H57" i="2" l="1"/>
  <c r="Z48" i="2"/>
  <c r="Y48" i="2"/>
  <c r="X48" i="2"/>
  <c r="W48" i="2"/>
  <c r="V48" i="2"/>
  <c r="U48" i="2"/>
  <c r="T48" i="2"/>
  <c r="S48" i="2"/>
  <c r="R48" i="2"/>
  <c r="Q48" i="2"/>
  <c r="P48" i="2"/>
  <c r="O48" i="2"/>
  <c r="N48" i="2"/>
  <c r="M48" i="2"/>
  <c r="L48" i="2"/>
  <c r="K48" i="2"/>
  <c r="J48" i="2"/>
  <c r="I48" i="2"/>
  <c r="G48" i="2"/>
  <c r="Z35" i="2"/>
  <c r="Y35" i="2"/>
  <c r="X35" i="2"/>
  <c r="W35" i="2"/>
  <c r="V35" i="2"/>
  <c r="U35" i="2"/>
  <c r="T35" i="2"/>
  <c r="S35" i="2"/>
  <c r="R35" i="2"/>
  <c r="Q35" i="2"/>
  <c r="P35" i="2"/>
  <c r="O35" i="2"/>
  <c r="N35" i="2"/>
  <c r="M35" i="2"/>
  <c r="L35" i="2"/>
  <c r="K35" i="2"/>
  <c r="J35" i="2"/>
  <c r="I35" i="2"/>
  <c r="G35" i="2"/>
  <c r="Z40" i="2"/>
  <c r="Y40" i="2"/>
  <c r="X40" i="2"/>
  <c r="W40" i="2"/>
  <c r="V40" i="2"/>
  <c r="U40" i="2"/>
  <c r="T40" i="2"/>
  <c r="S40" i="2"/>
  <c r="R40" i="2"/>
  <c r="Q40" i="2"/>
  <c r="P40" i="2"/>
  <c r="O40" i="2"/>
  <c r="N40" i="2"/>
  <c r="M40" i="2"/>
  <c r="L40" i="2"/>
  <c r="K40" i="2"/>
  <c r="J40" i="2"/>
  <c r="I40" i="2"/>
  <c r="G40" i="2"/>
  <c r="Z27" i="2"/>
  <c r="Y27" i="2"/>
  <c r="X27" i="2"/>
  <c r="W27" i="2"/>
  <c r="V27" i="2"/>
  <c r="U27" i="2"/>
  <c r="T27" i="2"/>
  <c r="S27" i="2"/>
  <c r="R27" i="2"/>
  <c r="Q27" i="2"/>
  <c r="P27" i="2"/>
  <c r="O27" i="2"/>
  <c r="N27" i="2"/>
  <c r="M27" i="2"/>
  <c r="L27" i="2"/>
  <c r="K27" i="2"/>
  <c r="J27" i="2"/>
  <c r="I27" i="2"/>
  <c r="Z20" i="2"/>
  <c r="Y20" i="2"/>
  <c r="X20" i="2"/>
  <c r="W20" i="2"/>
  <c r="V20" i="2"/>
  <c r="U20" i="2"/>
  <c r="T20" i="2"/>
  <c r="S20" i="2"/>
  <c r="R20" i="2"/>
  <c r="Q20" i="2"/>
  <c r="P20" i="2"/>
  <c r="O20" i="2"/>
  <c r="N20" i="2"/>
  <c r="M20" i="2"/>
  <c r="L20" i="2"/>
  <c r="K20" i="2"/>
  <c r="J20" i="2"/>
  <c r="I20" i="2"/>
  <c r="G20" i="2"/>
  <c r="Z72" i="2"/>
  <c r="Y72" i="2"/>
  <c r="X72" i="2"/>
  <c r="W72" i="2"/>
  <c r="V72" i="2"/>
  <c r="U72" i="2"/>
  <c r="T72" i="2"/>
  <c r="S72" i="2"/>
  <c r="R72" i="2"/>
  <c r="Q72" i="2"/>
  <c r="P72" i="2"/>
  <c r="O72" i="2"/>
  <c r="N72" i="2"/>
  <c r="M72" i="2"/>
  <c r="L72" i="2"/>
  <c r="K72" i="2"/>
  <c r="J72" i="2"/>
  <c r="I72" i="2"/>
  <c r="G72" i="2"/>
  <c r="Z69" i="2"/>
  <c r="Y69" i="2"/>
  <c r="X69" i="2"/>
  <c r="W69" i="2"/>
  <c r="V69" i="2"/>
  <c r="U69" i="2"/>
  <c r="T69" i="2"/>
  <c r="S69" i="2"/>
  <c r="R69" i="2"/>
  <c r="Q69" i="2"/>
  <c r="P69" i="2"/>
  <c r="O69" i="2"/>
  <c r="N69" i="2"/>
  <c r="M69" i="2"/>
  <c r="L69" i="2"/>
  <c r="K69" i="2"/>
  <c r="J69" i="2"/>
  <c r="I69" i="2"/>
  <c r="C64" i="2"/>
  <c r="H64" i="2" s="1"/>
  <c r="H65" i="2" s="1"/>
  <c r="Z5" i="2"/>
  <c r="Y5" i="2"/>
  <c r="Y21" i="2" s="1"/>
  <c r="X5" i="2"/>
  <c r="W5" i="2"/>
  <c r="W21" i="2" s="1"/>
  <c r="V5" i="2"/>
  <c r="U5" i="2"/>
  <c r="U21" i="2" s="1"/>
  <c r="T5" i="2"/>
  <c r="S5" i="2"/>
  <c r="S21" i="2" s="1"/>
  <c r="R5" i="2"/>
  <c r="Q5" i="2"/>
  <c r="Q21" i="2" s="1"/>
  <c r="P5" i="2"/>
  <c r="O5" i="2"/>
  <c r="O21" i="2" s="1"/>
  <c r="N5" i="2"/>
  <c r="M5" i="2"/>
  <c r="M21" i="2" s="1"/>
  <c r="L5" i="2"/>
  <c r="K5" i="2"/>
  <c r="K21" i="2" s="1"/>
  <c r="J5" i="2"/>
  <c r="I5" i="2"/>
  <c r="I21" i="2" s="1"/>
  <c r="G56" i="2"/>
  <c r="Z55" i="2"/>
  <c r="Y55" i="2"/>
  <c r="X55" i="2"/>
  <c r="W55" i="2"/>
  <c r="V55" i="2"/>
  <c r="U55" i="2"/>
  <c r="T55" i="2"/>
  <c r="S55" i="2"/>
  <c r="R55" i="2"/>
  <c r="Q55" i="2"/>
  <c r="P55" i="2"/>
  <c r="M55" i="2"/>
  <c r="L55" i="2"/>
  <c r="K55" i="2"/>
  <c r="J55" i="2"/>
  <c r="I55" i="2"/>
  <c r="Z54" i="2"/>
  <c r="Y54" i="2"/>
  <c r="Y56" i="2" s="1"/>
  <c r="X54" i="2"/>
  <c r="W54" i="2"/>
  <c r="V54" i="2"/>
  <c r="U54" i="2"/>
  <c r="T54" i="2"/>
  <c r="S54" i="2"/>
  <c r="R54" i="2"/>
  <c r="Q54" i="2"/>
  <c r="L54" i="2"/>
  <c r="K54" i="2"/>
  <c r="J54" i="2"/>
  <c r="I54" i="2"/>
  <c r="D125" i="16"/>
  <c r="AA16" i="20" l="1"/>
  <c r="AA14" i="20"/>
  <c r="AA13" i="20"/>
  <c r="AA11" i="20"/>
  <c r="AA9" i="20"/>
  <c r="AA7" i="20"/>
  <c r="AA5" i="20"/>
  <c r="Z16" i="20"/>
  <c r="Z15" i="20"/>
  <c r="Z14" i="20"/>
  <c r="AB14" i="20" s="1"/>
  <c r="Z13" i="20"/>
  <c r="Z12" i="20"/>
  <c r="Z11" i="20"/>
  <c r="Z10" i="20"/>
  <c r="Z9" i="20"/>
  <c r="Z8" i="20"/>
  <c r="Z7" i="20"/>
  <c r="Z6" i="20"/>
  <c r="Z5" i="20"/>
  <c r="AB5" i="20" s="1"/>
  <c r="AA15" i="20"/>
  <c r="AA12" i="20"/>
  <c r="AA10" i="20"/>
  <c r="AA8" i="20"/>
  <c r="AA6" i="20"/>
  <c r="H95" i="2"/>
  <c r="H60" i="2"/>
  <c r="H59" i="2"/>
  <c r="K56" i="2"/>
  <c r="I56" i="2"/>
  <c r="M56" i="2"/>
  <c r="O56" i="2"/>
  <c r="Q56" i="2"/>
  <c r="S56" i="2"/>
  <c r="U56" i="2"/>
  <c r="W56" i="2"/>
  <c r="J89" i="2"/>
  <c r="L89" i="2"/>
  <c r="N89" i="2"/>
  <c r="P89" i="2"/>
  <c r="R89" i="2"/>
  <c r="T89" i="2"/>
  <c r="V89" i="2"/>
  <c r="X89" i="2"/>
  <c r="Z89" i="2"/>
  <c r="I89" i="2"/>
  <c r="K89" i="2"/>
  <c r="M89" i="2"/>
  <c r="O89" i="2"/>
  <c r="Q89" i="2"/>
  <c r="S89" i="2"/>
  <c r="U89" i="2"/>
  <c r="W89" i="2"/>
  <c r="Y89" i="2"/>
  <c r="I7" i="2"/>
  <c r="I8" i="2" s="1"/>
  <c r="M7" i="2"/>
  <c r="M8" i="2" s="1"/>
  <c r="Q7" i="2"/>
  <c r="Q8" i="2" s="1"/>
  <c r="U7" i="2"/>
  <c r="U8" i="2" s="1"/>
  <c r="Y7" i="2"/>
  <c r="Y8" i="2" s="1"/>
  <c r="I22" i="2"/>
  <c r="K22" i="2"/>
  <c r="M22" i="2"/>
  <c r="O22" i="2"/>
  <c r="Q22" i="2"/>
  <c r="S22" i="2"/>
  <c r="U22" i="2"/>
  <c r="W22" i="2"/>
  <c r="Y22" i="2"/>
  <c r="G7" i="2"/>
  <c r="G8" i="2" s="1"/>
  <c r="G21" i="2"/>
  <c r="G22" i="2" s="1"/>
  <c r="J7" i="2"/>
  <c r="J8" i="2" s="1"/>
  <c r="J21" i="2"/>
  <c r="J22" i="2" s="1"/>
  <c r="L7" i="2"/>
  <c r="L8" i="2" s="1"/>
  <c r="L21" i="2"/>
  <c r="L22" i="2" s="1"/>
  <c r="N7" i="2"/>
  <c r="N8" i="2" s="1"/>
  <c r="N21" i="2"/>
  <c r="N22" i="2" s="1"/>
  <c r="P7" i="2"/>
  <c r="P8" i="2" s="1"/>
  <c r="P21" i="2"/>
  <c r="P22" i="2" s="1"/>
  <c r="R7" i="2"/>
  <c r="R8" i="2" s="1"/>
  <c r="R21" i="2"/>
  <c r="R22" i="2" s="1"/>
  <c r="T7" i="2"/>
  <c r="T8" i="2" s="1"/>
  <c r="T21" i="2"/>
  <c r="T22" i="2" s="1"/>
  <c r="V7" i="2"/>
  <c r="V8" i="2" s="1"/>
  <c r="V21" i="2"/>
  <c r="V22" i="2" s="1"/>
  <c r="X7" i="2"/>
  <c r="X8" i="2" s="1"/>
  <c r="X21" i="2"/>
  <c r="X22" i="2" s="1"/>
  <c r="Z7" i="2"/>
  <c r="Z8" i="2" s="1"/>
  <c r="Z21" i="2"/>
  <c r="Z22" i="2" s="1"/>
  <c r="K7" i="2"/>
  <c r="K8" i="2" s="1"/>
  <c r="O7" i="2"/>
  <c r="O8" i="2" s="1"/>
  <c r="S7" i="2"/>
  <c r="S8" i="2" s="1"/>
  <c r="W7" i="2"/>
  <c r="W8" i="2" s="1"/>
  <c r="J56" i="2"/>
  <c r="L56" i="2"/>
  <c r="N56" i="2"/>
  <c r="P56" i="2"/>
  <c r="R56" i="2"/>
  <c r="T56" i="2"/>
  <c r="V56" i="2"/>
  <c r="X56" i="2"/>
  <c r="Z56" i="2"/>
  <c r="I64" i="2"/>
  <c r="I65" i="2" s="1"/>
  <c r="K64" i="2"/>
  <c r="K65" i="2" s="1"/>
  <c r="M64" i="2"/>
  <c r="M65" i="2" s="1"/>
  <c r="O64" i="2"/>
  <c r="O65" i="2" s="1"/>
  <c r="Q64" i="2"/>
  <c r="Q65" i="2" s="1"/>
  <c r="S64" i="2"/>
  <c r="S65" i="2" s="1"/>
  <c r="U64" i="2"/>
  <c r="U65" i="2" s="1"/>
  <c r="W64" i="2"/>
  <c r="W65" i="2" s="1"/>
  <c r="Y64" i="2"/>
  <c r="Y65" i="2" s="1"/>
  <c r="G64" i="2"/>
  <c r="J64" i="2"/>
  <c r="J65" i="2" s="1"/>
  <c r="L64" i="2"/>
  <c r="L65" i="2" s="1"/>
  <c r="N64" i="2"/>
  <c r="N65" i="2" s="1"/>
  <c r="P64" i="2"/>
  <c r="P65" i="2" s="1"/>
  <c r="R64" i="2"/>
  <c r="R65" i="2" s="1"/>
  <c r="T64" i="2"/>
  <c r="T65" i="2" s="1"/>
  <c r="V64" i="2"/>
  <c r="V65" i="2" s="1"/>
  <c r="X64" i="2"/>
  <c r="X65" i="2" s="1"/>
  <c r="Z64" i="2"/>
  <c r="Z65" i="2" s="1"/>
  <c r="AB13" i="20" l="1"/>
  <c r="S57" i="2"/>
  <c r="S60" i="2" s="1"/>
  <c r="AB16" i="20"/>
  <c r="AB9" i="20"/>
  <c r="G24" i="20"/>
  <c r="AU125" i="16"/>
  <c r="K10" i="2"/>
  <c r="T24" i="20"/>
  <c r="FU125" i="16"/>
  <c r="X10" i="2"/>
  <c r="P24" i="20"/>
  <c r="EG125" i="16"/>
  <c r="T10" i="2"/>
  <c r="L24" i="20"/>
  <c r="CS125" i="16"/>
  <c r="P10" i="2"/>
  <c r="H24" i="20"/>
  <c r="BE125" i="16"/>
  <c r="L10" i="2"/>
  <c r="C24" i="20"/>
  <c r="G125" i="16"/>
  <c r="M125" i="16" s="1"/>
  <c r="N125" i="16" s="1"/>
  <c r="G10" i="2"/>
  <c r="M24" i="20"/>
  <c r="DC125" i="16"/>
  <c r="Q10" i="2"/>
  <c r="S24" i="20"/>
  <c r="FK125" i="16"/>
  <c r="W10" i="2"/>
  <c r="I24" i="20"/>
  <c r="BO125" i="16"/>
  <c r="M10" i="2"/>
  <c r="O24" i="20"/>
  <c r="DW125" i="16"/>
  <c r="S10" i="2"/>
  <c r="V24" i="20"/>
  <c r="GO125" i="16"/>
  <c r="Z10" i="2"/>
  <c r="R24" i="20"/>
  <c r="FA125" i="16"/>
  <c r="V10" i="2"/>
  <c r="N24" i="20"/>
  <c r="DM125" i="16"/>
  <c r="R10" i="2"/>
  <c r="J24" i="20"/>
  <c r="BY125" i="16"/>
  <c r="N10" i="2"/>
  <c r="F24" i="20"/>
  <c r="AK125" i="16"/>
  <c r="J10" i="2"/>
  <c r="U24" i="20"/>
  <c r="GE125" i="16"/>
  <c r="Y10" i="2"/>
  <c r="E24" i="20"/>
  <c r="AA125" i="16"/>
  <c r="I10" i="2"/>
  <c r="K24" i="20"/>
  <c r="CI125" i="16"/>
  <c r="O10" i="2"/>
  <c r="Q24" i="20"/>
  <c r="EQ125" i="16"/>
  <c r="U10" i="2"/>
  <c r="AB7" i="20"/>
  <c r="AB11" i="20"/>
  <c r="AB6" i="20"/>
  <c r="AB8" i="20"/>
  <c r="AB10" i="20"/>
  <c r="AB12" i="20"/>
  <c r="AB15" i="20"/>
  <c r="V57" i="2"/>
  <c r="V95" i="2" s="1"/>
  <c r="W57" i="2"/>
  <c r="W95" i="2" s="1"/>
  <c r="O39" i="20"/>
  <c r="O11" i="20"/>
  <c r="J84" i="20" s="1"/>
  <c r="R39" i="20"/>
  <c r="R11" i="20"/>
  <c r="J93" i="20" s="1"/>
  <c r="U39" i="20"/>
  <c r="U11" i="20"/>
  <c r="J102" i="20" s="1"/>
  <c r="M39" i="20"/>
  <c r="M11" i="20"/>
  <c r="J78" i="20" s="1"/>
  <c r="E39" i="20"/>
  <c r="E11" i="20"/>
  <c r="J54" i="20" s="1"/>
  <c r="P39" i="20"/>
  <c r="P11" i="20"/>
  <c r="J87" i="20" s="1"/>
  <c r="H39" i="20"/>
  <c r="H11" i="20"/>
  <c r="J63" i="20" s="1"/>
  <c r="Z57" i="2"/>
  <c r="R57" i="2"/>
  <c r="R59" i="2" s="1"/>
  <c r="J57" i="2"/>
  <c r="J59" i="2" s="1"/>
  <c r="S39" i="20"/>
  <c r="S11" i="20"/>
  <c r="J96" i="20" s="1"/>
  <c r="K39" i="20"/>
  <c r="K11" i="20"/>
  <c r="J72" i="20" s="1"/>
  <c r="V39" i="20"/>
  <c r="V11" i="20"/>
  <c r="J105" i="20" s="1"/>
  <c r="N39" i="20"/>
  <c r="N11" i="20"/>
  <c r="J81" i="20" s="1"/>
  <c r="F39" i="20"/>
  <c r="F11" i="20"/>
  <c r="J57" i="20" s="1"/>
  <c r="G39" i="20"/>
  <c r="G11" i="20"/>
  <c r="J60" i="20" s="1"/>
  <c r="J39" i="20"/>
  <c r="J11" i="20"/>
  <c r="J69" i="20" s="1"/>
  <c r="Q39" i="20"/>
  <c r="Q11" i="20"/>
  <c r="J90" i="20" s="1"/>
  <c r="I39" i="20"/>
  <c r="I11" i="20"/>
  <c r="J66" i="20" s="1"/>
  <c r="T39" i="20"/>
  <c r="T11" i="20"/>
  <c r="J99" i="20" s="1"/>
  <c r="L39" i="20"/>
  <c r="L11" i="20"/>
  <c r="J75" i="20" s="1"/>
  <c r="N57" i="2"/>
  <c r="N60" i="2" s="1"/>
  <c r="H61" i="2"/>
  <c r="S59" i="2"/>
  <c r="K57" i="2"/>
  <c r="M57" i="2"/>
  <c r="X57" i="2"/>
  <c r="T57" i="2"/>
  <c r="P57" i="2"/>
  <c r="P60" i="2" s="1"/>
  <c r="L57" i="2"/>
  <c r="Y57" i="2"/>
  <c r="U57" i="2"/>
  <c r="O57" i="2"/>
  <c r="Q57" i="2"/>
  <c r="I57" i="2"/>
  <c r="G57" i="2"/>
  <c r="G59" i="2" s="1"/>
  <c r="G65" i="2"/>
  <c r="S95" i="2" l="1"/>
  <c r="EW125" i="16"/>
  <c r="EX125" i="16" s="1"/>
  <c r="EU125" i="16"/>
  <c r="ES125" i="16"/>
  <c r="AQ125" i="16"/>
  <c r="AR125" i="16" s="1"/>
  <c r="AM125" i="16"/>
  <c r="AO125" i="16"/>
  <c r="GU125" i="16"/>
  <c r="GV125" i="16" s="1"/>
  <c r="GQ125" i="16"/>
  <c r="GS125" i="16"/>
  <c r="DI125" i="16"/>
  <c r="DJ125" i="16" s="1"/>
  <c r="DG125" i="16"/>
  <c r="DE125" i="16"/>
  <c r="EM125" i="16"/>
  <c r="EN125" i="16" s="1"/>
  <c r="EK125" i="16"/>
  <c r="EI125" i="16"/>
  <c r="GK125" i="16"/>
  <c r="GL125" i="16" s="1"/>
  <c r="GG125" i="16"/>
  <c r="GI125" i="16"/>
  <c r="FG125" i="16"/>
  <c r="FH125" i="16" s="1"/>
  <c r="FC125" i="16"/>
  <c r="FE125" i="16"/>
  <c r="FQ125" i="16"/>
  <c r="FR125" i="16" s="1"/>
  <c r="FM125" i="16"/>
  <c r="FO125" i="16"/>
  <c r="CY125" i="16"/>
  <c r="CZ125" i="16" s="1"/>
  <c r="CU125" i="16"/>
  <c r="CW125" i="16"/>
  <c r="AG125" i="16"/>
  <c r="AH125" i="16" s="1"/>
  <c r="AC125" i="16"/>
  <c r="AE125" i="16"/>
  <c r="DS125" i="16"/>
  <c r="DT125" i="16" s="1"/>
  <c r="DO125" i="16"/>
  <c r="DQ125" i="16"/>
  <c r="BU125" i="16"/>
  <c r="BV125" i="16" s="1"/>
  <c r="BQ125" i="16"/>
  <c r="BS125" i="16"/>
  <c r="BK125" i="16"/>
  <c r="BL125" i="16" s="1"/>
  <c r="BG125" i="16"/>
  <c r="BI125" i="16"/>
  <c r="BA125" i="16"/>
  <c r="BB125" i="16" s="1"/>
  <c r="AW125" i="16"/>
  <c r="AY125" i="16"/>
  <c r="CO125" i="16"/>
  <c r="CP125" i="16" s="1"/>
  <c r="CM125" i="16"/>
  <c r="CK125" i="16"/>
  <c r="CE125" i="16"/>
  <c r="CF125" i="16" s="1"/>
  <c r="CA125" i="16"/>
  <c r="CC125" i="16"/>
  <c r="EC125" i="16"/>
  <c r="ED125" i="16" s="1"/>
  <c r="DY125" i="16"/>
  <c r="EA125" i="16"/>
  <c r="GA125" i="16"/>
  <c r="GB125" i="16" s="1"/>
  <c r="FW125" i="16"/>
  <c r="FY125" i="16"/>
  <c r="W59" i="2"/>
  <c r="W60" i="2"/>
  <c r="V60" i="2"/>
  <c r="V59" i="2"/>
  <c r="Q95" i="2"/>
  <c r="Q60" i="2"/>
  <c r="L95" i="2"/>
  <c r="L60" i="2"/>
  <c r="M95" i="2"/>
  <c r="M60" i="2"/>
  <c r="J95" i="2"/>
  <c r="J60" i="2"/>
  <c r="J61" i="2" s="1"/>
  <c r="O95" i="2"/>
  <c r="O60" i="2"/>
  <c r="P95" i="2"/>
  <c r="K95" i="2"/>
  <c r="K60" i="2"/>
  <c r="R95" i="2"/>
  <c r="R60" i="2"/>
  <c r="R61" i="2" s="1"/>
  <c r="G60" i="2"/>
  <c r="U95" i="2"/>
  <c r="U60" i="2"/>
  <c r="T95" i="2"/>
  <c r="T60" i="2"/>
  <c r="Z95" i="2"/>
  <c r="Z60" i="2"/>
  <c r="I95" i="2"/>
  <c r="I60" i="2"/>
  <c r="Y95" i="2"/>
  <c r="Y60" i="2"/>
  <c r="X95" i="2"/>
  <c r="X60" i="2"/>
  <c r="Z59" i="2"/>
  <c r="N59" i="2"/>
  <c r="N61" i="2" s="1"/>
  <c r="N95" i="2"/>
  <c r="C95" i="16"/>
  <c r="C115" i="16"/>
  <c r="G95" i="2"/>
  <c r="Q59" i="2"/>
  <c r="U59" i="2"/>
  <c r="L59" i="2"/>
  <c r="T59" i="2"/>
  <c r="M59" i="2"/>
  <c r="I59" i="2"/>
  <c r="O59" i="2"/>
  <c r="Y59" i="2"/>
  <c r="P59" i="2"/>
  <c r="P61" i="2" s="1"/>
  <c r="X59" i="2"/>
  <c r="K59" i="2"/>
  <c r="S61" i="2"/>
  <c r="I125" i="16"/>
  <c r="W61" i="2" l="1"/>
  <c r="L61" i="2"/>
  <c r="GO115" i="16"/>
  <c r="GU115" i="16" s="1"/>
  <c r="GE115" i="16"/>
  <c r="GK115" i="16" s="1"/>
  <c r="FU115" i="16"/>
  <c r="GA115" i="16" s="1"/>
  <c r="FK115" i="16"/>
  <c r="FQ115" i="16" s="1"/>
  <c r="FA115" i="16"/>
  <c r="FG115" i="16" s="1"/>
  <c r="EQ115" i="16"/>
  <c r="EW115" i="16" s="1"/>
  <c r="EG115" i="16"/>
  <c r="EM115" i="16" s="1"/>
  <c r="BY115" i="16"/>
  <c r="CE115" i="16" s="1"/>
  <c r="BO115" i="16"/>
  <c r="BU115" i="16" s="1"/>
  <c r="DW115" i="16"/>
  <c r="EC115" i="16" s="1"/>
  <c r="CI115" i="16"/>
  <c r="CO115" i="16" s="1"/>
  <c r="AU115" i="16"/>
  <c r="BA115" i="16" s="1"/>
  <c r="AK115" i="16"/>
  <c r="AQ115" i="16" s="1"/>
  <c r="CS115" i="16"/>
  <c r="CY115" i="16" s="1"/>
  <c r="BE115" i="16"/>
  <c r="BK115" i="16" s="1"/>
  <c r="G115" i="16"/>
  <c r="DM115" i="16"/>
  <c r="DS115" i="16" s="1"/>
  <c r="AA115" i="16"/>
  <c r="AG115" i="16" s="1"/>
  <c r="DC115" i="16"/>
  <c r="DI115" i="16" s="1"/>
  <c r="Q115" i="16"/>
  <c r="W115" i="16" s="1"/>
  <c r="GE95" i="16"/>
  <c r="GK95" i="16" s="1"/>
  <c r="GO95" i="16"/>
  <c r="GU95" i="16" s="1"/>
  <c r="FK95" i="16"/>
  <c r="FQ95" i="16" s="1"/>
  <c r="EQ95" i="16"/>
  <c r="EW95" i="16" s="1"/>
  <c r="FU95" i="16"/>
  <c r="GA95" i="16" s="1"/>
  <c r="DM95" i="16"/>
  <c r="DS95" i="16" s="1"/>
  <c r="BY95" i="16"/>
  <c r="CE95" i="16" s="1"/>
  <c r="BO95" i="16"/>
  <c r="BU95" i="16" s="1"/>
  <c r="FA95" i="16"/>
  <c r="FG95" i="16" s="1"/>
  <c r="CI95" i="16"/>
  <c r="CO95" i="16" s="1"/>
  <c r="AU95" i="16"/>
  <c r="BA95" i="16" s="1"/>
  <c r="AK95" i="16"/>
  <c r="AQ95" i="16" s="1"/>
  <c r="G95" i="16"/>
  <c r="M95" i="16" s="1"/>
  <c r="CS95" i="16"/>
  <c r="CY95" i="16" s="1"/>
  <c r="BE95" i="16"/>
  <c r="BK95" i="16" s="1"/>
  <c r="EG95" i="16"/>
  <c r="EM95" i="16" s="1"/>
  <c r="DC95" i="16"/>
  <c r="DI95" i="16" s="1"/>
  <c r="AA95" i="16"/>
  <c r="AG95" i="16" s="1"/>
  <c r="DW95" i="16"/>
  <c r="EC95" i="16" s="1"/>
  <c r="Q95" i="16"/>
  <c r="W95" i="16" s="1"/>
  <c r="U125" i="16"/>
  <c r="S125" i="16"/>
  <c r="Z61" i="2"/>
  <c r="V61" i="2"/>
  <c r="G61" i="2"/>
  <c r="Y61" i="2"/>
  <c r="O61" i="2"/>
  <c r="T61" i="2"/>
  <c r="U61" i="2"/>
  <c r="C65" i="16"/>
  <c r="C35" i="16"/>
  <c r="C25" i="16"/>
  <c r="C105" i="16"/>
  <c r="C75" i="16"/>
  <c r="C5" i="16"/>
  <c r="CS5" i="16" s="1"/>
  <c r="CY5" i="16" s="1"/>
  <c r="C45" i="16"/>
  <c r="C85" i="16"/>
  <c r="C15" i="16"/>
  <c r="C55" i="16"/>
  <c r="Q61" i="2"/>
  <c r="K61" i="2"/>
  <c r="X61" i="2"/>
  <c r="I61" i="2"/>
  <c r="M61" i="2"/>
  <c r="K125" i="16"/>
  <c r="C120" i="16"/>
  <c r="EK95" i="16" l="1"/>
  <c r="AE115" i="16"/>
  <c r="AY115" i="16"/>
  <c r="EA115" i="16"/>
  <c r="CC115" i="16"/>
  <c r="EU115" i="16"/>
  <c r="FO115" i="16"/>
  <c r="GI115" i="16"/>
  <c r="DG115" i="16"/>
  <c r="DQ115" i="16"/>
  <c r="AO115" i="16"/>
  <c r="CM115" i="16"/>
  <c r="FE115" i="16"/>
  <c r="FY115" i="16"/>
  <c r="GS115" i="16"/>
  <c r="K115" i="16"/>
  <c r="M115" i="16"/>
  <c r="GO45" i="16"/>
  <c r="GU45" i="16" s="1"/>
  <c r="GE45" i="16"/>
  <c r="GK45" i="16" s="1"/>
  <c r="FU45" i="16"/>
  <c r="GA45" i="16" s="1"/>
  <c r="FK45" i="16"/>
  <c r="FQ45" i="16" s="1"/>
  <c r="FA45" i="16"/>
  <c r="FG45" i="16" s="1"/>
  <c r="EG45" i="16"/>
  <c r="EM45" i="16" s="1"/>
  <c r="DW45" i="16"/>
  <c r="EC45" i="16" s="1"/>
  <c r="DM45" i="16"/>
  <c r="DS45" i="16" s="1"/>
  <c r="DC45" i="16"/>
  <c r="DI45" i="16" s="1"/>
  <c r="CS45" i="16"/>
  <c r="CY45" i="16" s="1"/>
  <c r="AA45" i="16"/>
  <c r="AG45" i="16" s="1"/>
  <c r="BE45" i="16"/>
  <c r="BK45" i="16" s="1"/>
  <c r="CI45" i="16"/>
  <c r="CO45" i="16" s="1"/>
  <c r="AU45" i="16"/>
  <c r="BA45" i="16" s="1"/>
  <c r="BY45" i="16"/>
  <c r="CE45" i="16" s="1"/>
  <c r="BO45" i="16"/>
  <c r="BU45" i="16" s="1"/>
  <c r="Q45" i="16"/>
  <c r="W45" i="16" s="1"/>
  <c r="G45" i="16"/>
  <c r="EQ45" i="16"/>
  <c r="EW45" i="16" s="1"/>
  <c r="AK45" i="16"/>
  <c r="AQ45" i="16" s="1"/>
  <c r="BS95" i="16"/>
  <c r="GE55" i="16"/>
  <c r="GK55" i="16" s="1"/>
  <c r="GO55" i="16"/>
  <c r="GU55" i="16" s="1"/>
  <c r="FK55" i="16"/>
  <c r="FQ55" i="16" s="1"/>
  <c r="EQ55" i="16"/>
  <c r="EW55" i="16" s="1"/>
  <c r="FU55" i="16"/>
  <c r="GA55" i="16" s="1"/>
  <c r="DM55" i="16"/>
  <c r="DS55" i="16" s="1"/>
  <c r="BY55" i="16"/>
  <c r="CE55" i="16" s="1"/>
  <c r="BO55" i="16"/>
  <c r="BU55" i="16" s="1"/>
  <c r="CI55" i="16"/>
  <c r="CO55" i="16" s="1"/>
  <c r="AU55" i="16"/>
  <c r="BA55" i="16" s="1"/>
  <c r="AK55" i="16"/>
  <c r="AQ55" i="16" s="1"/>
  <c r="DW55" i="16"/>
  <c r="EC55" i="16" s="1"/>
  <c r="AA55" i="16"/>
  <c r="AG55" i="16" s="1"/>
  <c r="G55" i="16"/>
  <c r="CS55" i="16"/>
  <c r="CY55" i="16" s="1"/>
  <c r="BE55" i="16"/>
  <c r="BK55" i="16" s="1"/>
  <c r="DC55" i="16"/>
  <c r="DI55" i="16" s="1"/>
  <c r="FA55" i="16"/>
  <c r="FG55" i="16" s="1"/>
  <c r="EG55" i="16"/>
  <c r="EM55" i="16" s="1"/>
  <c r="Q55" i="16"/>
  <c r="W55" i="16" s="1"/>
  <c r="GE5" i="16"/>
  <c r="GK5" i="16" s="1"/>
  <c r="FU5" i="16"/>
  <c r="GA5" i="16" s="1"/>
  <c r="GO5" i="16"/>
  <c r="GU5" i="16" s="1"/>
  <c r="FK5" i="16"/>
  <c r="FQ5" i="16" s="1"/>
  <c r="FA5" i="16"/>
  <c r="FG5" i="16" s="1"/>
  <c r="EG5" i="16"/>
  <c r="EM5" i="16" s="1"/>
  <c r="EQ5" i="16"/>
  <c r="EW5" i="16" s="1"/>
  <c r="DM5" i="16"/>
  <c r="DS5" i="16" s="1"/>
  <c r="CI5" i="16"/>
  <c r="CO5" i="16" s="1"/>
  <c r="AU5" i="16"/>
  <c r="BA5" i="16" s="1"/>
  <c r="AK5" i="16"/>
  <c r="AQ5" i="16" s="1"/>
  <c r="DC5" i="16"/>
  <c r="DI5" i="16" s="1"/>
  <c r="AA5" i="16"/>
  <c r="AG5" i="16" s="1"/>
  <c r="BO5" i="16"/>
  <c r="BU5" i="16" s="1"/>
  <c r="DW5" i="16"/>
  <c r="EC5" i="16" s="1"/>
  <c r="BY5" i="16"/>
  <c r="CE5" i="16" s="1"/>
  <c r="BE5" i="16"/>
  <c r="BK5" i="16" s="1"/>
  <c r="Q5" i="16"/>
  <c r="W5" i="16" s="1"/>
  <c r="G5" i="16"/>
  <c r="M5" i="16" s="1"/>
  <c r="EA95" i="16"/>
  <c r="AY95" i="16"/>
  <c r="BI115" i="16"/>
  <c r="GE15" i="16"/>
  <c r="GK15" i="16" s="1"/>
  <c r="FK15" i="16"/>
  <c r="FQ15" i="16" s="1"/>
  <c r="EQ15" i="16"/>
  <c r="EW15" i="16" s="1"/>
  <c r="GO15" i="16"/>
  <c r="GU15" i="16" s="1"/>
  <c r="DM15" i="16"/>
  <c r="DS15" i="16" s="1"/>
  <c r="BY15" i="16"/>
  <c r="CE15" i="16" s="1"/>
  <c r="BO15" i="16"/>
  <c r="BU15" i="16" s="1"/>
  <c r="FA15" i="16"/>
  <c r="FG15" i="16" s="1"/>
  <c r="CI15" i="16"/>
  <c r="CO15" i="16" s="1"/>
  <c r="AU15" i="16"/>
  <c r="BA15" i="16" s="1"/>
  <c r="AK15" i="16"/>
  <c r="AQ15" i="16" s="1"/>
  <c r="AA15" i="16"/>
  <c r="AG15" i="16" s="1"/>
  <c r="G15" i="16"/>
  <c r="M15" i="16" s="1"/>
  <c r="FU15" i="16"/>
  <c r="GA15" i="16" s="1"/>
  <c r="EG15" i="16"/>
  <c r="EM15" i="16" s="1"/>
  <c r="DC15" i="16"/>
  <c r="DI15" i="16" s="1"/>
  <c r="DW15" i="16"/>
  <c r="EC15" i="16" s="1"/>
  <c r="CS15" i="16"/>
  <c r="CY15" i="16" s="1"/>
  <c r="BE15" i="16"/>
  <c r="BK15" i="16" s="1"/>
  <c r="Q15" i="16"/>
  <c r="W15" i="16" s="1"/>
  <c r="GO65" i="16"/>
  <c r="GU65" i="16" s="1"/>
  <c r="GE65" i="16"/>
  <c r="GK65" i="16" s="1"/>
  <c r="FU65" i="16"/>
  <c r="GA65" i="16" s="1"/>
  <c r="FK65" i="16"/>
  <c r="FQ65" i="16" s="1"/>
  <c r="FA65" i="16"/>
  <c r="FG65" i="16" s="1"/>
  <c r="EG65" i="16"/>
  <c r="EM65" i="16" s="1"/>
  <c r="DW65" i="16"/>
  <c r="EC65" i="16" s="1"/>
  <c r="DM65" i="16"/>
  <c r="DS65" i="16" s="1"/>
  <c r="DC65" i="16"/>
  <c r="DI65" i="16" s="1"/>
  <c r="CS65" i="16"/>
  <c r="CY65" i="16" s="1"/>
  <c r="AA65" i="16"/>
  <c r="AG65" i="16" s="1"/>
  <c r="EQ65" i="16"/>
  <c r="EW65" i="16" s="1"/>
  <c r="BE65" i="16"/>
  <c r="BK65" i="16" s="1"/>
  <c r="CI65" i="16"/>
  <c r="CO65" i="16" s="1"/>
  <c r="G65" i="16"/>
  <c r="BY65" i="16"/>
  <c r="CE65" i="16" s="1"/>
  <c r="BO65" i="16"/>
  <c r="BU65" i="16" s="1"/>
  <c r="AU65" i="16"/>
  <c r="BA65" i="16" s="1"/>
  <c r="AK65" i="16"/>
  <c r="AQ65" i="16" s="1"/>
  <c r="Q65" i="16"/>
  <c r="W65" i="16" s="1"/>
  <c r="AE95" i="16"/>
  <c r="CW95" i="16"/>
  <c r="CM95" i="16"/>
  <c r="DQ95" i="16"/>
  <c r="GS95" i="16"/>
  <c r="CW115" i="16"/>
  <c r="GO120" i="16"/>
  <c r="GU120" i="16" s="1"/>
  <c r="GE120" i="16"/>
  <c r="GK120" i="16" s="1"/>
  <c r="FK120" i="16"/>
  <c r="FQ120" i="16" s="1"/>
  <c r="DW120" i="16"/>
  <c r="EC120" i="16" s="1"/>
  <c r="DM120" i="16"/>
  <c r="DS120" i="16" s="1"/>
  <c r="EQ120" i="16"/>
  <c r="EW120" i="16" s="1"/>
  <c r="FA120" i="16"/>
  <c r="FG120" i="16" s="1"/>
  <c r="BE120" i="16"/>
  <c r="BK120" i="16" s="1"/>
  <c r="BY120" i="16"/>
  <c r="CE120" i="16" s="1"/>
  <c r="BO120" i="16"/>
  <c r="BU120" i="16" s="1"/>
  <c r="FU120" i="16"/>
  <c r="GA120" i="16" s="1"/>
  <c r="EG120" i="16"/>
  <c r="EM120" i="16" s="1"/>
  <c r="AU120" i="16"/>
  <c r="BA120" i="16" s="1"/>
  <c r="AK120" i="16"/>
  <c r="AQ120" i="16" s="1"/>
  <c r="Q120" i="16"/>
  <c r="W120" i="16" s="1"/>
  <c r="AA120" i="16"/>
  <c r="AG120" i="16" s="1"/>
  <c r="G120" i="16"/>
  <c r="DC120" i="16"/>
  <c r="DI120" i="16" s="1"/>
  <c r="CS120" i="16"/>
  <c r="CY120" i="16" s="1"/>
  <c r="CI120" i="16"/>
  <c r="CO120" i="16" s="1"/>
  <c r="GO25" i="16"/>
  <c r="GU25" i="16" s="1"/>
  <c r="GE25" i="16"/>
  <c r="GK25" i="16" s="1"/>
  <c r="FU25" i="16"/>
  <c r="GA25" i="16" s="1"/>
  <c r="FK25" i="16"/>
  <c r="FQ25" i="16" s="1"/>
  <c r="FA25" i="16"/>
  <c r="FG25" i="16" s="1"/>
  <c r="EG25" i="16"/>
  <c r="EM25" i="16" s="1"/>
  <c r="DW25" i="16"/>
  <c r="EC25" i="16" s="1"/>
  <c r="DM25" i="16"/>
  <c r="DS25" i="16" s="1"/>
  <c r="DC25" i="16"/>
  <c r="DI25" i="16" s="1"/>
  <c r="CS25" i="16"/>
  <c r="CY25" i="16" s="1"/>
  <c r="AA25" i="16"/>
  <c r="AG25" i="16" s="1"/>
  <c r="EQ25" i="16"/>
  <c r="EW25" i="16" s="1"/>
  <c r="BE25" i="16"/>
  <c r="BK25" i="16" s="1"/>
  <c r="CI25" i="16"/>
  <c r="CO25" i="16" s="1"/>
  <c r="G25" i="16"/>
  <c r="BO25" i="16"/>
  <c r="BU25" i="16" s="1"/>
  <c r="AU25" i="16"/>
  <c r="BA25" i="16" s="1"/>
  <c r="AK25" i="16"/>
  <c r="AQ25" i="16" s="1"/>
  <c r="Q25" i="16"/>
  <c r="W25" i="16" s="1"/>
  <c r="BY25" i="16"/>
  <c r="CE25" i="16" s="1"/>
  <c r="AO95" i="16"/>
  <c r="EU95" i="16"/>
  <c r="GO35" i="16"/>
  <c r="GU35" i="16" s="1"/>
  <c r="FU35" i="16"/>
  <c r="GA35" i="16" s="1"/>
  <c r="FK35" i="16"/>
  <c r="FQ35" i="16" s="1"/>
  <c r="FA35" i="16"/>
  <c r="FG35" i="16" s="1"/>
  <c r="EQ35" i="16"/>
  <c r="EW35" i="16" s="1"/>
  <c r="EG35" i="16"/>
  <c r="EM35" i="16" s="1"/>
  <c r="BY35" i="16"/>
  <c r="CE35" i="16" s="1"/>
  <c r="BO35" i="16"/>
  <c r="BU35" i="16" s="1"/>
  <c r="DW35" i="16"/>
  <c r="EC35" i="16" s="1"/>
  <c r="CI35" i="16"/>
  <c r="CO35" i="16" s="1"/>
  <c r="AU35" i="16"/>
  <c r="BA35" i="16" s="1"/>
  <c r="AK35" i="16"/>
  <c r="AQ35" i="16" s="1"/>
  <c r="CS35" i="16"/>
  <c r="CY35" i="16" s="1"/>
  <c r="BE35" i="16"/>
  <c r="BK35" i="16" s="1"/>
  <c r="G35" i="16"/>
  <c r="DM35" i="16"/>
  <c r="DS35" i="16" s="1"/>
  <c r="DC35" i="16"/>
  <c r="DI35" i="16" s="1"/>
  <c r="GE35" i="16"/>
  <c r="GK35" i="16" s="1"/>
  <c r="AA35" i="16"/>
  <c r="AG35" i="16" s="1"/>
  <c r="Q35" i="16"/>
  <c r="W35" i="16" s="1"/>
  <c r="BI95" i="16"/>
  <c r="CC95" i="16"/>
  <c r="FO95" i="16"/>
  <c r="EK115" i="16"/>
  <c r="GO75" i="16"/>
  <c r="GU75" i="16" s="1"/>
  <c r="GE75" i="16"/>
  <c r="GK75" i="16" s="1"/>
  <c r="FU75" i="16"/>
  <c r="GA75" i="16" s="1"/>
  <c r="FA75" i="16"/>
  <c r="FG75" i="16" s="1"/>
  <c r="EQ75" i="16"/>
  <c r="EW75" i="16" s="1"/>
  <c r="EG75" i="16"/>
  <c r="EM75" i="16" s="1"/>
  <c r="BY75" i="16"/>
  <c r="CE75" i="16" s="1"/>
  <c r="BO75" i="16"/>
  <c r="BU75" i="16" s="1"/>
  <c r="DW75" i="16"/>
  <c r="EC75" i="16" s="1"/>
  <c r="CI75" i="16"/>
  <c r="CO75" i="16" s="1"/>
  <c r="AU75" i="16"/>
  <c r="BA75" i="16" s="1"/>
  <c r="AK75" i="16"/>
  <c r="AQ75" i="16" s="1"/>
  <c r="FK75" i="16"/>
  <c r="FQ75" i="16" s="1"/>
  <c r="CS75" i="16"/>
  <c r="CY75" i="16" s="1"/>
  <c r="BE75" i="16"/>
  <c r="BK75" i="16" s="1"/>
  <c r="G75" i="16"/>
  <c r="AA75" i="16"/>
  <c r="AG75" i="16" s="1"/>
  <c r="DM75" i="16"/>
  <c r="DS75" i="16" s="1"/>
  <c r="DC75" i="16"/>
  <c r="DI75" i="16" s="1"/>
  <c r="Q75" i="16"/>
  <c r="W75" i="16" s="1"/>
  <c r="GO85" i="16"/>
  <c r="GU85" i="16" s="1"/>
  <c r="FU85" i="16"/>
  <c r="GA85" i="16" s="1"/>
  <c r="FK85" i="16"/>
  <c r="FQ85" i="16" s="1"/>
  <c r="FA85" i="16"/>
  <c r="FG85" i="16" s="1"/>
  <c r="GE85" i="16"/>
  <c r="GK85" i="16" s="1"/>
  <c r="EG85" i="16"/>
  <c r="EM85" i="16" s="1"/>
  <c r="DW85" i="16"/>
  <c r="EC85" i="16" s="1"/>
  <c r="DM85" i="16"/>
  <c r="DS85" i="16" s="1"/>
  <c r="DC85" i="16"/>
  <c r="DI85" i="16" s="1"/>
  <c r="CS85" i="16"/>
  <c r="CY85" i="16" s="1"/>
  <c r="AA85" i="16"/>
  <c r="AG85" i="16" s="1"/>
  <c r="BE85" i="16"/>
  <c r="BK85" i="16" s="1"/>
  <c r="CI85" i="16"/>
  <c r="CO85" i="16" s="1"/>
  <c r="EQ85" i="16"/>
  <c r="EW85" i="16" s="1"/>
  <c r="BY85" i="16"/>
  <c r="CE85" i="16" s="1"/>
  <c r="BO85" i="16"/>
  <c r="BU85" i="16" s="1"/>
  <c r="Q85" i="16"/>
  <c r="W85" i="16" s="1"/>
  <c r="G85" i="16"/>
  <c r="AU85" i="16"/>
  <c r="BA85" i="16" s="1"/>
  <c r="AK85" i="16"/>
  <c r="AQ85" i="16" s="1"/>
  <c r="GO105" i="16"/>
  <c r="GU105" i="16" s="1"/>
  <c r="FU105" i="16"/>
  <c r="GA105" i="16" s="1"/>
  <c r="FK105" i="16"/>
  <c r="FQ105" i="16" s="1"/>
  <c r="GE105" i="16"/>
  <c r="GK105" i="16" s="1"/>
  <c r="FA105" i="16"/>
  <c r="FG105" i="16" s="1"/>
  <c r="EG105" i="16"/>
  <c r="EM105" i="16" s="1"/>
  <c r="DW105" i="16"/>
  <c r="EC105" i="16" s="1"/>
  <c r="DM105" i="16"/>
  <c r="DS105" i="16" s="1"/>
  <c r="DC105" i="16"/>
  <c r="DI105" i="16" s="1"/>
  <c r="CS105" i="16"/>
  <c r="CY105" i="16" s="1"/>
  <c r="EQ105" i="16"/>
  <c r="EW105" i="16" s="1"/>
  <c r="BE105" i="16"/>
  <c r="BK105" i="16" s="1"/>
  <c r="CI105" i="16"/>
  <c r="CO105" i="16" s="1"/>
  <c r="AU105" i="16"/>
  <c r="BA105" i="16" s="1"/>
  <c r="AK105" i="16"/>
  <c r="AQ105" i="16" s="1"/>
  <c r="Q105" i="16"/>
  <c r="W105" i="16" s="1"/>
  <c r="G105" i="16"/>
  <c r="BY105" i="16"/>
  <c r="CE105" i="16" s="1"/>
  <c r="BO105" i="16"/>
  <c r="BU105" i="16" s="1"/>
  <c r="AA105" i="16"/>
  <c r="AG105" i="16" s="1"/>
  <c r="DG95" i="16"/>
  <c r="FE95" i="16"/>
  <c r="FY95" i="16"/>
  <c r="GI95" i="16"/>
  <c r="BS115" i="16"/>
  <c r="C100" i="16"/>
  <c r="C60" i="16"/>
  <c r="C90" i="16"/>
  <c r="C40" i="16"/>
  <c r="C70" i="16"/>
  <c r="C30" i="16"/>
  <c r="C50" i="16"/>
  <c r="C110" i="16"/>
  <c r="C80" i="16"/>
  <c r="C10" i="16"/>
  <c r="C20" i="16"/>
  <c r="C116" i="16"/>
  <c r="C121" i="16"/>
  <c r="K95" i="16"/>
  <c r="DG75" i="16" l="1"/>
  <c r="AE75" i="16"/>
  <c r="FO75" i="16"/>
  <c r="AY75" i="16"/>
  <c r="EA75" i="16"/>
  <c r="CC75" i="16"/>
  <c r="EU75" i="16"/>
  <c r="FY75" i="16"/>
  <c r="GS75" i="16"/>
  <c r="DG35" i="16"/>
  <c r="AY35" i="16"/>
  <c r="EA35" i="16"/>
  <c r="CC35" i="16"/>
  <c r="EU35" i="16"/>
  <c r="FO35" i="16"/>
  <c r="GS35" i="16"/>
  <c r="EK15" i="16"/>
  <c r="EK55" i="16"/>
  <c r="DQ75" i="16"/>
  <c r="CW75" i="16"/>
  <c r="AO75" i="16"/>
  <c r="CM75" i="16"/>
  <c r="BS75" i="16"/>
  <c r="FE75" i="16"/>
  <c r="GI75" i="16"/>
  <c r="DQ35" i="16"/>
  <c r="AO35" i="16"/>
  <c r="BS35" i="16"/>
  <c r="FE35" i="16"/>
  <c r="FY35" i="16"/>
  <c r="U5" i="16"/>
  <c r="K15" i="16"/>
  <c r="K85" i="16"/>
  <c r="M85" i="16"/>
  <c r="K75" i="16"/>
  <c r="M75" i="16"/>
  <c r="K55" i="16"/>
  <c r="M55" i="16"/>
  <c r="K105" i="16"/>
  <c r="M105" i="16"/>
  <c r="K35" i="16"/>
  <c r="M35" i="16"/>
  <c r="K25" i="16"/>
  <c r="M25" i="16"/>
  <c r="K120" i="16"/>
  <c r="M120" i="16"/>
  <c r="K65" i="16"/>
  <c r="M65" i="16"/>
  <c r="K45" i="16"/>
  <c r="M45" i="16"/>
  <c r="K5" i="16"/>
  <c r="GO20" i="16"/>
  <c r="GU20" i="16" s="1"/>
  <c r="GE20" i="16"/>
  <c r="GK20" i="16" s="1"/>
  <c r="FU20" i="16"/>
  <c r="GA20" i="16" s="1"/>
  <c r="FK20" i="16"/>
  <c r="FQ20" i="16" s="1"/>
  <c r="DW20" i="16"/>
  <c r="EC20" i="16" s="1"/>
  <c r="DM20" i="16"/>
  <c r="DS20" i="16" s="1"/>
  <c r="FA20" i="16"/>
  <c r="FG20" i="16" s="1"/>
  <c r="EQ20" i="16"/>
  <c r="EW20" i="16" s="1"/>
  <c r="BE20" i="16"/>
  <c r="BK20" i="16" s="1"/>
  <c r="EG20" i="16"/>
  <c r="EM20" i="16" s="1"/>
  <c r="BY20" i="16"/>
  <c r="CE20" i="16" s="1"/>
  <c r="BO20" i="16"/>
  <c r="BU20" i="16" s="1"/>
  <c r="DC20" i="16"/>
  <c r="DI20" i="16" s="1"/>
  <c r="Q20" i="16"/>
  <c r="W20" i="16" s="1"/>
  <c r="CS20" i="16"/>
  <c r="CY20" i="16" s="1"/>
  <c r="CI20" i="16"/>
  <c r="CO20" i="16" s="1"/>
  <c r="G20" i="16"/>
  <c r="AU20" i="16"/>
  <c r="BA20" i="16" s="1"/>
  <c r="AK20" i="16"/>
  <c r="AQ20" i="16" s="1"/>
  <c r="AA20" i="16"/>
  <c r="AG20" i="16" s="1"/>
  <c r="GO90" i="16"/>
  <c r="GU90" i="16" s="1"/>
  <c r="GE90" i="16"/>
  <c r="GK90" i="16" s="1"/>
  <c r="FU90" i="16"/>
  <c r="GA90" i="16" s="1"/>
  <c r="FK90" i="16"/>
  <c r="FQ90" i="16" s="1"/>
  <c r="FA90" i="16"/>
  <c r="FG90" i="16" s="1"/>
  <c r="EG90" i="16"/>
  <c r="EM90" i="16" s="1"/>
  <c r="DW90" i="16"/>
  <c r="EC90" i="16" s="1"/>
  <c r="CI90" i="16"/>
  <c r="CO90" i="16" s="1"/>
  <c r="AU90" i="16"/>
  <c r="BA90" i="16" s="1"/>
  <c r="AK90" i="16"/>
  <c r="AQ90" i="16" s="1"/>
  <c r="DM90" i="16"/>
  <c r="DS90" i="16" s="1"/>
  <c r="DC90" i="16"/>
  <c r="DI90" i="16" s="1"/>
  <c r="CS90" i="16"/>
  <c r="CY90" i="16" s="1"/>
  <c r="BY90" i="16"/>
  <c r="CE90" i="16" s="1"/>
  <c r="BO90" i="16"/>
  <c r="BU90" i="16" s="1"/>
  <c r="AA90" i="16"/>
  <c r="AG90" i="16" s="1"/>
  <c r="EQ90" i="16"/>
  <c r="EW90" i="16" s="1"/>
  <c r="Q90" i="16"/>
  <c r="W90" i="16" s="1"/>
  <c r="BE90" i="16"/>
  <c r="BK90" i="16" s="1"/>
  <c r="G90" i="16"/>
  <c r="DQ105" i="16"/>
  <c r="AO85" i="16"/>
  <c r="BI85" i="16"/>
  <c r="FE85" i="16"/>
  <c r="BS25" i="16"/>
  <c r="DQ25" i="16"/>
  <c r="AE120" i="16"/>
  <c r="BI120" i="16"/>
  <c r="CC65" i="16"/>
  <c r="DQ65" i="16"/>
  <c r="FE15" i="16"/>
  <c r="AE5" i="16"/>
  <c r="EK5" i="16"/>
  <c r="FY5" i="16"/>
  <c r="DQ55" i="16"/>
  <c r="DQ45" i="16"/>
  <c r="GO10" i="16"/>
  <c r="GU10" i="16" s="1"/>
  <c r="GE10" i="16"/>
  <c r="GK10" i="16" s="1"/>
  <c r="FU10" i="16"/>
  <c r="GA10" i="16" s="1"/>
  <c r="FK10" i="16"/>
  <c r="FQ10" i="16" s="1"/>
  <c r="FA10" i="16"/>
  <c r="FG10" i="16" s="1"/>
  <c r="EG10" i="16"/>
  <c r="EM10" i="16" s="1"/>
  <c r="DW10" i="16"/>
  <c r="EC10" i="16" s="1"/>
  <c r="CI10" i="16"/>
  <c r="CO10" i="16" s="1"/>
  <c r="AU10" i="16"/>
  <c r="BA10" i="16" s="1"/>
  <c r="AK10" i="16"/>
  <c r="AQ10" i="16" s="1"/>
  <c r="DM10" i="16"/>
  <c r="DS10" i="16" s="1"/>
  <c r="DC10" i="16"/>
  <c r="DI10" i="16" s="1"/>
  <c r="CS10" i="16"/>
  <c r="CY10" i="16" s="1"/>
  <c r="AA10" i="16"/>
  <c r="AG10" i="16" s="1"/>
  <c r="BY10" i="16"/>
  <c r="CE10" i="16" s="1"/>
  <c r="BO10" i="16"/>
  <c r="BU10" i="16" s="1"/>
  <c r="Q10" i="16"/>
  <c r="W10" i="16" s="1"/>
  <c r="BE10" i="16"/>
  <c r="BK10" i="16" s="1"/>
  <c r="EQ10" i="16"/>
  <c r="EW10" i="16" s="1"/>
  <c r="G10" i="16"/>
  <c r="M10" i="16" s="1"/>
  <c r="AO105" i="16"/>
  <c r="EA105" i="16"/>
  <c r="AY85" i="16"/>
  <c r="EA85" i="16"/>
  <c r="FO85" i="16"/>
  <c r="BI75" i="16"/>
  <c r="EA25" i="16"/>
  <c r="CW120" i="16"/>
  <c r="FE120" i="16"/>
  <c r="AO65" i="16"/>
  <c r="AE65" i="16"/>
  <c r="FY65" i="16"/>
  <c r="BI15" i="16"/>
  <c r="BS15" i="16"/>
  <c r="CW5" i="16"/>
  <c r="FE5" i="16"/>
  <c r="DG55" i="16"/>
  <c r="CM55" i="16"/>
  <c r="GI55" i="16"/>
  <c r="EU45" i="16"/>
  <c r="CC45" i="16"/>
  <c r="AE45" i="16"/>
  <c r="EA45" i="16"/>
  <c r="GE70" i="16"/>
  <c r="GK70" i="16" s="1"/>
  <c r="GO70" i="16"/>
  <c r="GU70" i="16" s="1"/>
  <c r="FU70" i="16"/>
  <c r="GA70" i="16" s="1"/>
  <c r="FA70" i="16"/>
  <c r="FG70" i="16" s="1"/>
  <c r="FK70" i="16"/>
  <c r="FQ70" i="16" s="1"/>
  <c r="EG70" i="16"/>
  <c r="EM70" i="16" s="1"/>
  <c r="EQ70" i="16"/>
  <c r="EW70" i="16" s="1"/>
  <c r="CI70" i="16"/>
  <c r="CO70" i="16" s="1"/>
  <c r="AU70" i="16"/>
  <c r="BA70" i="16" s="1"/>
  <c r="AK70" i="16"/>
  <c r="AQ70" i="16" s="1"/>
  <c r="DC70" i="16"/>
  <c r="DI70" i="16" s="1"/>
  <c r="CS70" i="16"/>
  <c r="CY70" i="16" s="1"/>
  <c r="AA70" i="16"/>
  <c r="AG70" i="16" s="1"/>
  <c r="DM70" i="16"/>
  <c r="DS70" i="16" s="1"/>
  <c r="BY70" i="16"/>
  <c r="CE70" i="16" s="1"/>
  <c r="BO70" i="16"/>
  <c r="BU70" i="16" s="1"/>
  <c r="Q70" i="16"/>
  <c r="W70" i="16" s="1"/>
  <c r="DW70" i="16"/>
  <c r="EC70" i="16" s="1"/>
  <c r="BE70" i="16"/>
  <c r="BK70" i="16" s="1"/>
  <c r="G70" i="16"/>
  <c r="GO100" i="16"/>
  <c r="GU100" i="16" s="1"/>
  <c r="GE100" i="16"/>
  <c r="GK100" i="16" s="1"/>
  <c r="FU100" i="16"/>
  <c r="GA100" i="16" s="1"/>
  <c r="FK100" i="16"/>
  <c r="FQ100" i="16" s="1"/>
  <c r="DW100" i="16"/>
  <c r="EC100" i="16" s="1"/>
  <c r="DM100" i="16"/>
  <c r="DS100" i="16" s="1"/>
  <c r="FA100" i="16"/>
  <c r="FG100" i="16" s="1"/>
  <c r="EQ100" i="16"/>
  <c r="EW100" i="16" s="1"/>
  <c r="BE100" i="16"/>
  <c r="BK100" i="16" s="1"/>
  <c r="EG100" i="16"/>
  <c r="EM100" i="16" s="1"/>
  <c r="BY100" i="16"/>
  <c r="CE100" i="16" s="1"/>
  <c r="BO100" i="16"/>
  <c r="BU100" i="16" s="1"/>
  <c r="DC100" i="16"/>
  <c r="DI100" i="16" s="1"/>
  <c r="Q100" i="16"/>
  <c r="W100" i="16" s="1"/>
  <c r="AK100" i="16"/>
  <c r="AQ100" i="16" s="1"/>
  <c r="CS100" i="16"/>
  <c r="CY100" i="16" s="1"/>
  <c r="CI100" i="16"/>
  <c r="CO100" i="16" s="1"/>
  <c r="G100" i="16"/>
  <c r="M100" i="16" s="1"/>
  <c r="AU100" i="16"/>
  <c r="BA100" i="16" s="1"/>
  <c r="AA100" i="16"/>
  <c r="AG100" i="16" s="1"/>
  <c r="AY105" i="16"/>
  <c r="EK105" i="16"/>
  <c r="FY105" i="16"/>
  <c r="EU85" i="16"/>
  <c r="CW85" i="16"/>
  <c r="EK85" i="16"/>
  <c r="FY85" i="16"/>
  <c r="EK75" i="16"/>
  <c r="GI35" i="16"/>
  <c r="BI35" i="16"/>
  <c r="CM35" i="16"/>
  <c r="EK35" i="16"/>
  <c r="AO25" i="16"/>
  <c r="CM25" i="16"/>
  <c r="CW25" i="16"/>
  <c r="EK25" i="16"/>
  <c r="GI25" i="16"/>
  <c r="DG120" i="16"/>
  <c r="AO120" i="16"/>
  <c r="BS120" i="16"/>
  <c r="EU120" i="16"/>
  <c r="GI120" i="16"/>
  <c r="AY65" i="16"/>
  <c r="CM65" i="16"/>
  <c r="CW65" i="16"/>
  <c r="EK65" i="16"/>
  <c r="GI65" i="16"/>
  <c r="CW15" i="16"/>
  <c r="FY15" i="16"/>
  <c r="AY15" i="16"/>
  <c r="CC15" i="16"/>
  <c r="FO15" i="16"/>
  <c r="EA5" i="16"/>
  <c r="DG5" i="16"/>
  <c r="DQ5" i="16"/>
  <c r="FO5" i="16"/>
  <c r="BI55" i="16"/>
  <c r="EA55" i="16"/>
  <c r="BS55" i="16"/>
  <c r="EU55" i="16"/>
  <c r="AY45" i="16"/>
  <c r="CW45" i="16"/>
  <c r="EK45" i="16"/>
  <c r="GI45" i="16"/>
  <c r="GO50" i="16"/>
  <c r="GU50" i="16" s="1"/>
  <c r="GE50" i="16"/>
  <c r="GK50" i="16" s="1"/>
  <c r="FU50" i="16"/>
  <c r="GA50" i="16" s="1"/>
  <c r="FA50" i="16"/>
  <c r="FG50" i="16" s="1"/>
  <c r="EG50" i="16"/>
  <c r="EM50" i="16" s="1"/>
  <c r="DW50" i="16"/>
  <c r="EC50" i="16" s="1"/>
  <c r="CI50" i="16"/>
  <c r="CO50" i="16" s="1"/>
  <c r="AU50" i="16"/>
  <c r="BA50" i="16" s="1"/>
  <c r="AK50" i="16"/>
  <c r="AQ50" i="16" s="1"/>
  <c r="FK50" i="16"/>
  <c r="FQ50" i="16" s="1"/>
  <c r="DM50" i="16"/>
  <c r="DS50" i="16" s="1"/>
  <c r="DC50" i="16"/>
  <c r="DI50" i="16" s="1"/>
  <c r="CS50" i="16"/>
  <c r="CY50" i="16" s="1"/>
  <c r="AA50" i="16"/>
  <c r="AG50" i="16" s="1"/>
  <c r="EQ50" i="16"/>
  <c r="EW50" i="16" s="1"/>
  <c r="BY50" i="16"/>
  <c r="CE50" i="16" s="1"/>
  <c r="BO50" i="16"/>
  <c r="BU50" i="16" s="1"/>
  <c r="BE50" i="16"/>
  <c r="BK50" i="16" s="1"/>
  <c r="Q50" i="16"/>
  <c r="W50" i="16" s="1"/>
  <c r="G50" i="16"/>
  <c r="AE105" i="16"/>
  <c r="BI105" i="16"/>
  <c r="GI105" i="16"/>
  <c r="BS85" i="16"/>
  <c r="DQ85" i="16"/>
  <c r="CC25" i="16"/>
  <c r="EU25" i="16"/>
  <c r="FO25" i="16"/>
  <c r="CM120" i="16"/>
  <c r="EK120" i="16"/>
  <c r="EA120" i="16"/>
  <c r="EU65" i="16"/>
  <c r="FO65" i="16"/>
  <c r="DG15" i="16"/>
  <c r="AE15" i="16"/>
  <c r="GS15" i="16"/>
  <c r="BI5" i="16"/>
  <c r="AY5" i="16"/>
  <c r="FE55" i="16"/>
  <c r="AY55" i="16"/>
  <c r="GS55" i="16"/>
  <c r="AO45" i="16"/>
  <c r="BS45" i="16"/>
  <c r="BI45" i="16"/>
  <c r="FO45" i="16"/>
  <c r="GO121" i="16"/>
  <c r="GU121" i="16" s="1"/>
  <c r="FU121" i="16"/>
  <c r="GA121" i="16" s="1"/>
  <c r="FK121" i="16"/>
  <c r="FQ121" i="16" s="1"/>
  <c r="GE121" i="16"/>
  <c r="FA121" i="16"/>
  <c r="FG121" i="16" s="1"/>
  <c r="EG121" i="16"/>
  <c r="EM121" i="16" s="1"/>
  <c r="DW121" i="16"/>
  <c r="EC121" i="16" s="1"/>
  <c r="DM121" i="16"/>
  <c r="DS121" i="16" s="1"/>
  <c r="DC121" i="16"/>
  <c r="DI121" i="16" s="1"/>
  <c r="CS121" i="16"/>
  <c r="CY121" i="16" s="1"/>
  <c r="EQ121" i="16"/>
  <c r="EW121" i="16" s="1"/>
  <c r="BE121" i="16"/>
  <c r="BK121" i="16" s="1"/>
  <c r="CI121" i="16"/>
  <c r="CO121" i="16" s="1"/>
  <c r="BY121" i="16"/>
  <c r="CE121" i="16" s="1"/>
  <c r="AU121" i="16"/>
  <c r="BA121" i="16" s="1"/>
  <c r="AK121" i="16"/>
  <c r="Q121" i="16"/>
  <c r="G121" i="16"/>
  <c r="M121" i="16" s="1"/>
  <c r="BO121" i="16"/>
  <c r="BU121" i="16" s="1"/>
  <c r="AA121" i="16"/>
  <c r="AG121" i="16" s="1"/>
  <c r="GE30" i="16"/>
  <c r="GK30" i="16" s="1"/>
  <c r="FU30" i="16"/>
  <c r="GA30" i="16" s="1"/>
  <c r="GO30" i="16"/>
  <c r="GU30" i="16" s="1"/>
  <c r="FK30" i="16"/>
  <c r="FQ30" i="16" s="1"/>
  <c r="FA30" i="16"/>
  <c r="FG30" i="16" s="1"/>
  <c r="EG30" i="16"/>
  <c r="EM30" i="16" s="1"/>
  <c r="EQ30" i="16"/>
  <c r="EW30" i="16" s="1"/>
  <c r="CI30" i="16"/>
  <c r="CO30" i="16" s="1"/>
  <c r="AU30" i="16"/>
  <c r="BA30" i="16" s="1"/>
  <c r="AK30" i="16"/>
  <c r="AQ30" i="16" s="1"/>
  <c r="DC30" i="16"/>
  <c r="DI30" i="16" s="1"/>
  <c r="CS30" i="16"/>
  <c r="CY30" i="16" s="1"/>
  <c r="AA30" i="16"/>
  <c r="AG30" i="16" s="1"/>
  <c r="BY30" i="16"/>
  <c r="CE30" i="16" s="1"/>
  <c r="BO30" i="16"/>
  <c r="BU30" i="16" s="1"/>
  <c r="Q30" i="16"/>
  <c r="W30" i="16" s="1"/>
  <c r="DW30" i="16"/>
  <c r="EC30" i="16" s="1"/>
  <c r="BE30" i="16"/>
  <c r="BK30" i="16" s="1"/>
  <c r="DM30" i="16"/>
  <c r="DS30" i="16" s="1"/>
  <c r="G30" i="16"/>
  <c r="GO60" i="16"/>
  <c r="GU60" i="16" s="1"/>
  <c r="GE60" i="16"/>
  <c r="GK60" i="16" s="1"/>
  <c r="FU60" i="16"/>
  <c r="GA60" i="16" s="1"/>
  <c r="DW60" i="16"/>
  <c r="EC60" i="16" s="1"/>
  <c r="DM60" i="16"/>
  <c r="DS60" i="16" s="1"/>
  <c r="FA60" i="16"/>
  <c r="FG60" i="16" s="1"/>
  <c r="EQ60" i="16"/>
  <c r="EW60" i="16" s="1"/>
  <c r="BE60" i="16"/>
  <c r="BK60" i="16" s="1"/>
  <c r="EG60" i="16"/>
  <c r="EM60" i="16" s="1"/>
  <c r="BY60" i="16"/>
  <c r="CE60" i="16" s="1"/>
  <c r="BO60" i="16"/>
  <c r="BU60" i="16" s="1"/>
  <c r="DC60" i="16"/>
  <c r="DI60" i="16" s="1"/>
  <c r="Q60" i="16"/>
  <c r="W60" i="16" s="1"/>
  <c r="CS60" i="16"/>
  <c r="CY60" i="16" s="1"/>
  <c r="CI60" i="16"/>
  <c r="CO60" i="16" s="1"/>
  <c r="G60" i="16"/>
  <c r="AU60" i="16"/>
  <c r="BA60" i="16" s="1"/>
  <c r="AK60" i="16"/>
  <c r="AQ60" i="16" s="1"/>
  <c r="FK60" i="16"/>
  <c r="FQ60" i="16" s="1"/>
  <c r="AA60" i="16"/>
  <c r="AG60" i="16" s="1"/>
  <c r="BS105" i="16"/>
  <c r="EU105" i="16"/>
  <c r="FO105" i="16"/>
  <c r="CC85" i="16"/>
  <c r="AE85" i="16"/>
  <c r="AE35" i="16"/>
  <c r="AE25" i="16"/>
  <c r="FY25" i="16"/>
  <c r="FY120" i="16"/>
  <c r="FW120" i="16"/>
  <c r="FO120" i="16"/>
  <c r="EA65" i="16"/>
  <c r="AO15" i="16"/>
  <c r="EU15" i="16"/>
  <c r="CC5" i="16"/>
  <c r="CM5" i="16"/>
  <c r="GI5" i="16"/>
  <c r="AE55" i="16"/>
  <c r="FY55" i="16"/>
  <c r="FY45" i="16"/>
  <c r="GO80" i="16"/>
  <c r="GU80" i="16" s="1"/>
  <c r="GE80" i="16"/>
  <c r="GK80" i="16" s="1"/>
  <c r="FU80" i="16"/>
  <c r="GA80" i="16" s="1"/>
  <c r="DW80" i="16"/>
  <c r="EC80" i="16" s="1"/>
  <c r="DM80" i="16"/>
  <c r="DS80" i="16" s="1"/>
  <c r="FK80" i="16"/>
  <c r="FQ80" i="16" s="1"/>
  <c r="EQ80" i="16"/>
  <c r="EW80" i="16" s="1"/>
  <c r="BE80" i="16"/>
  <c r="BK80" i="16" s="1"/>
  <c r="BY80" i="16"/>
  <c r="CE80" i="16" s="1"/>
  <c r="BO80" i="16"/>
  <c r="BU80" i="16" s="1"/>
  <c r="AU80" i="16"/>
  <c r="BA80" i="16" s="1"/>
  <c r="AK80" i="16"/>
  <c r="AQ80" i="16" s="1"/>
  <c r="Q80" i="16"/>
  <c r="W80" i="16" s="1"/>
  <c r="FA80" i="16"/>
  <c r="FG80" i="16" s="1"/>
  <c r="AA80" i="16"/>
  <c r="AG80" i="16" s="1"/>
  <c r="G80" i="16"/>
  <c r="EG80" i="16"/>
  <c r="EM80" i="16" s="1"/>
  <c r="DC80" i="16"/>
  <c r="DI80" i="16" s="1"/>
  <c r="CS80" i="16"/>
  <c r="CY80" i="16" s="1"/>
  <c r="CI80" i="16"/>
  <c r="CO80" i="16" s="1"/>
  <c r="CC105" i="16"/>
  <c r="CW105" i="16"/>
  <c r="GO116" i="16"/>
  <c r="GU116" i="16" s="1"/>
  <c r="GE116" i="16"/>
  <c r="FU116" i="16"/>
  <c r="GA116" i="16" s="1"/>
  <c r="FK116" i="16"/>
  <c r="FQ116" i="16" s="1"/>
  <c r="DW116" i="16"/>
  <c r="EC116" i="16" s="1"/>
  <c r="DM116" i="16"/>
  <c r="FA116" i="16"/>
  <c r="FG116" i="16" s="1"/>
  <c r="EQ116" i="16"/>
  <c r="BE116" i="16"/>
  <c r="BK116" i="16" s="1"/>
  <c r="EG116" i="16"/>
  <c r="EM116" i="16" s="1"/>
  <c r="BY116" i="16"/>
  <c r="CE116" i="16" s="1"/>
  <c r="BO116" i="16"/>
  <c r="BU116" i="16" s="1"/>
  <c r="DC116" i="16"/>
  <c r="DI116" i="16" s="1"/>
  <c r="Q116" i="16"/>
  <c r="W116" i="16" s="1"/>
  <c r="AK116" i="16"/>
  <c r="AQ116" i="16" s="1"/>
  <c r="CS116" i="16"/>
  <c r="CY116" i="16" s="1"/>
  <c r="CI116" i="16"/>
  <c r="CO116" i="16" s="1"/>
  <c r="G116" i="16"/>
  <c r="AU116" i="16"/>
  <c r="BA116" i="16" s="1"/>
  <c r="AA116" i="16"/>
  <c r="GE110" i="16"/>
  <c r="GK110" i="16" s="1"/>
  <c r="FU110" i="16"/>
  <c r="GA110" i="16" s="1"/>
  <c r="FK110" i="16"/>
  <c r="FQ110" i="16" s="1"/>
  <c r="FA110" i="16"/>
  <c r="FG110" i="16" s="1"/>
  <c r="EG110" i="16"/>
  <c r="EM110" i="16" s="1"/>
  <c r="EQ110" i="16"/>
  <c r="EW110" i="16" s="1"/>
  <c r="CI110" i="16"/>
  <c r="CO110" i="16" s="1"/>
  <c r="AU110" i="16"/>
  <c r="BA110" i="16" s="1"/>
  <c r="AK110" i="16"/>
  <c r="AQ110" i="16" s="1"/>
  <c r="DC110" i="16"/>
  <c r="DI110" i="16" s="1"/>
  <c r="CS110" i="16"/>
  <c r="CY110" i="16" s="1"/>
  <c r="GO110" i="16"/>
  <c r="GU110" i="16" s="1"/>
  <c r="AA110" i="16"/>
  <c r="AG110" i="16" s="1"/>
  <c r="BY110" i="16"/>
  <c r="CE110" i="16" s="1"/>
  <c r="Q110" i="16"/>
  <c r="W110" i="16" s="1"/>
  <c r="DW110" i="16"/>
  <c r="EC110" i="16" s="1"/>
  <c r="BE110" i="16"/>
  <c r="BK110" i="16" s="1"/>
  <c r="DM110" i="16"/>
  <c r="DS110" i="16" s="1"/>
  <c r="BO110" i="16"/>
  <c r="BU110" i="16" s="1"/>
  <c r="G110" i="16"/>
  <c r="GO40" i="16"/>
  <c r="GU40" i="16" s="1"/>
  <c r="GE40" i="16"/>
  <c r="GK40" i="16" s="1"/>
  <c r="FK40" i="16"/>
  <c r="FQ40" i="16" s="1"/>
  <c r="DW40" i="16"/>
  <c r="EC40" i="16" s="1"/>
  <c r="DM40" i="16"/>
  <c r="DS40" i="16" s="1"/>
  <c r="EQ40" i="16"/>
  <c r="EW40" i="16" s="1"/>
  <c r="FA40" i="16"/>
  <c r="FG40" i="16" s="1"/>
  <c r="BE40" i="16"/>
  <c r="BK40" i="16" s="1"/>
  <c r="FU40" i="16"/>
  <c r="GA40" i="16" s="1"/>
  <c r="BY40" i="16"/>
  <c r="CE40" i="16" s="1"/>
  <c r="BO40" i="16"/>
  <c r="BU40" i="16" s="1"/>
  <c r="EG40" i="16"/>
  <c r="EM40" i="16" s="1"/>
  <c r="AU40" i="16"/>
  <c r="BA40" i="16" s="1"/>
  <c r="AK40" i="16"/>
  <c r="AQ40" i="16" s="1"/>
  <c r="Q40" i="16"/>
  <c r="W40" i="16" s="1"/>
  <c r="CI40" i="16"/>
  <c r="CO40" i="16" s="1"/>
  <c r="AA40" i="16"/>
  <c r="AG40" i="16" s="1"/>
  <c r="G40" i="16"/>
  <c r="DC40" i="16"/>
  <c r="DI40" i="16" s="1"/>
  <c r="CS40" i="16"/>
  <c r="CY40" i="16" s="1"/>
  <c r="CM105" i="16"/>
  <c r="DG105" i="16"/>
  <c r="FE105" i="16"/>
  <c r="GS105" i="16"/>
  <c r="CM85" i="16"/>
  <c r="DG85" i="16"/>
  <c r="GI85" i="16"/>
  <c r="GS85" i="16"/>
  <c r="CW35" i="16"/>
  <c r="AY25" i="16"/>
  <c r="BI25" i="16"/>
  <c r="DG25" i="16"/>
  <c r="FE25" i="16"/>
  <c r="GS25" i="16"/>
  <c r="AY120" i="16"/>
  <c r="CC120" i="16"/>
  <c r="DQ120" i="16"/>
  <c r="GS120" i="16"/>
  <c r="BS65" i="16"/>
  <c r="BI65" i="16"/>
  <c r="DG65" i="16"/>
  <c r="FE65" i="16"/>
  <c r="GS65" i="16"/>
  <c r="EA15" i="16"/>
  <c r="CM15" i="16"/>
  <c r="DQ15" i="16"/>
  <c r="GI15" i="16"/>
  <c r="BS5" i="16"/>
  <c r="AO5" i="16"/>
  <c r="EU5" i="16"/>
  <c r="GS5" i="16"/>
  <c r="CW55" i="16"/>
  <c r="AO55" i="16"/>
  <c r="CC55" i="16"/>
  <c r="FO55" i="16"/>
  <c r="CM45" i="16"/>
  <c r="DG45" i="16"/>
  <c r="FE45" i="16"/>
  <c r="GS45" i="16"/>
  <c r="C106" i="16"/>
  <c r="C36" i="16"/>
  <c r="D35" i="16" s="1"/>
  <c r="C46" i="16"/>
  <c r="C47" i="16" s="1"/>
  <c r="C86" i="16"/>
  <c r="C61" i="16"/>
  <c r="C6" i="16"/>
  <c r="C11" i="16"/>
  <c r="C66" i="16"/>
  <c r="C56" i="16"/>
  <c r="C96" i="16"/>
  <c r="C101" i="16"/>
  <c r="C51" i="16"/>
  <c r="C71" i="16"/>
  <c r="C117" i="16"/>
  <c r="C91" i="16"/>
  <c r="C41" i="16"/>
  <c r="C31" i="16"/>
  <c r="C26" i="16"/>
  <c r="C111" i="16"/>
  <c r="C76" i="16"/>
  <c r="C81" i="16"/>
  <c r="C21" i="16"/>
  <c r="C16" i="16"/>
  <c r="D115" i="16"/>
  <c r="D120" i="16"/>
  <c r="C122" i="16"/>
  <c r="W121" i="16" l="1"/>
  <c r="X120" i="16" s="1"/>
  <c r="AG116" i="16"/>
  <c r="AH115" i="16" s="1"/>
  <c r="EW116" i="16"/>
  <c r="EX115" i="16" s="1"/>
  <c r="DS116" i="16"/>
  <c r="DT115" i="16" s="1"/>
  <c r="GK116" i="16"/>
  <c r="GL115" i="16" s="1"/>
  <c r="AQ121" i="16"/>
  <c r="AR120" i="16" s="1"/>
  <c r="GK121" i="16"/>
  <c r="GL120" i="16" s="1"/>
  <c r="BL115" i="16"/>
  <c r="BQ120" i="16"/>
  <c r="AW120" i="16"/>
  <c r="CK120" i="16"/>
  <c r="DY120" i="16"/>
  <c r="FC120" i="16"/>
  <c r="FM120" i="16"/>
  <c r="ED115" i="16"/>
  <c r="EX120" i="16"/>
  <c r="DJ120" i="16"/>
  <c r="CP115" i="16"/>
  <c r="GB115" i="16"/>
  <c r="GV120" i="16"/>
  <c r="CZ115" i="16"/>
  <c r="BV115" i="16"/>
  <c r="EN115" i="16"/>
  <c r="CA120" i="16"/>
  <c r="DO120" i="16"/>
  <c r="BB115" i="16"/>
  <c r="CF115" i="16"/>
  <c r="FR115" i="16"/>
  <c r="DJ115" i="16"/>
  <c r="BL120" i="16"/>
  <c r="EN120" i="16"/>
  <c r="AH120" i="16"/>
  <c r="AR115" i="16"/>
  <c r="FH115" i="16"/>
  <c r="GV115" i="16"/>
  <c r="GB120" i="16"/>
  <c r="CZ120" i="16"/>
  <c r="X115" i="16"/>
  <c r="K100" i="16"/>
  <c r="K50" i="16"/>
  <c r="M50" i="16"/>
  <c r="K70" i="16"/>
  <c r="M70" i="16"/>
  <c r="K20" i="16"/>
  <c r="M20" i="16"/>
  <c r="K40" i="16"/>
  <c r="M40" i="16"/>
  <c r="K110" i="16"/>
  <c r="M110" i="16"/>
  <c r="K116" i="16"/>
  <c r="M116" i="16"/>
  <c r="K80" i="16"/>
  <c r="M80" i="16"/>
  <c r="K60" i="16"/>
  <c r="M60" i="16"/>
  <c r="K30" i="16"/>
  <c r="M30" i="16"/>
  <c r="K10" i="16"/>
  <c r="K90" i="16"/>
  <c r="M90" i="16"/>
  <c r="N120" i="16"/>
  <c r="D45" i="16"/>
  <c r="GO11" i="16"/>
  <c r="GU11" i="16" s="1"/>
  <c r="FU11" i="16"/>
  <c r="GA11" i="16" s="1"/>
  <c r="FA11" i="16"/>
  <c r="FG11" i="16" s="1"/>
  <c r="EQ11" i="16"/>
  <c r="EW11" i="16" s="1"/>
  <c r="GE11" i="16"/>
  <c r="GK11" i="16" s="1"/>
  <c r="EG11" i="16"/>
  <c r="EM11" i="16" s="1"/>
  <c r="BY11" i="16"/>
  <c r="CE11" i="16" s="1"/>
  <c r="BO11" i="16"/>
  <c r="BU11" i="16" s="1"/>
  <c r="DW11" i="16"/>
  <c r="EC11" i="16" s="1"/>
  <c r="CI11" i="16"/>
  <c r="CO11" i="16" s="1"/>
  <c r="AU11" i="16"/>
  <c r="BA11" i="16" s="1"/>
  <c r="AK11" i="16"/>
  <c r="AQ11" i="16" s="1"/>
  <c r="CS11" i="16"/>
  <c r="CY11" i="16" s="1"/>
  <c r="BE11" i="16"/>
  <c r="BK11" i="16" s="1"/>
  <c r="G11" i="16"/>
  <c r="M11" i="16" s="1"/>
  <c r="AA11" i="16"/>
  <c r="AG11" i="16" s="1"/>
  <c r="DM11" i="16"/>
  <c r="DS11" i="16" s="1"/>
  <c r="FK11" i="16"/>
  <c r="FQ11" i="16" s="1"/>
  <c r="DC11" i="16"/>
  <c r="DI11" i="16" s="1"/>
  <c r="Q11" i="16"/>
  <c r="W11" i="16" s="1"/>
  <c r="GO106" i="16"/>
  <c r="GU106" i="16" s="1"/>
  <c r="GE106" i="16"/>
  <c r="GK106" i="16" s="1"/>
  <c r="FU106" i="16"/>
  <c r="GA106" i="16" s="1"/>
  <c r="FK106" i="16"/>
  <c r="FQ106" i="16" s="1"/>
  <c r="FA106" i="16"/>
  <c r="FG106" i="16" s="1"/>
  <c r="EG106" i="16"/>
  <c r="EM106" i="16" s="1"/>
  <c r="DW106" i="16"/>
  <c r="EC106" i="16" s="1"/>
  <c r="CI106" i="16"/>
  <c r="CO106" i="16" s="1"/>
  <c r="AU106" i="16"/>
  <c r="BA106" i="16" s="1"/>
  <c r="AK106" i="16"/>
  <c r="AQ106" i="16" s="1"/>
  <c r="DM106" i="16"/>
  <c r="DS106" i="16" s="1"/>
  <c r="DC106" i="16"/>
  <c r="DI106" i="16" s="1"/>
  <c r="CS106" i="16"/>
  <c r="CY106" i="16" s="1"/>
  <c r="BY106" i="16"/>
  <c r="CE106" i="16" s="1"/>
  <c r="BO106" i="16"/>
  <c r="BU106" i="16" s="1"/>
  <c r="AA106" i="16"/>
  <c r="AG106" i="16" s="1"/>
  <c r="BE106" i="16"/>
  <c r="BK106" i="16" s="1"/>
  <c r="EQ106" i="16"/>
  <c r="EW106" i="16" s="1"/>
  <c r="Q106" i="16"/>
  <c r="W106" i="16" s="1"/>
  <c r="G106" i="16"/>
  <c r="DG40" i="16"/>
  <c r="BS40" i="16"/>
  <c r="FO40" i="16"/>
  <c r="CM110" i="16"/>
  <c r="AW115" i="16"/>
  <c r="AY116" i="16"/>
  <c r="CA115" i="16"/>
  <c r="CC116" i="16"/>
  <c r="FW115" i="16"/>
  <c r="FY116" i="16"/>
  <c r="CW80" i="16"/>
  <c r="AY80" i="16"/>
  <c r="FY80" i="16"/>
  <c r="AY60" i="16"/>
  <c r="DQ60" i="16"/>
  <c r="EA30" i="16"/>
  <c r="FE30" i="16"/>
  <c r="DG121" i="16"/>
  <c r="GS121" i="16"/>
  <c r="DG50" i="16"/>
  <c r="FE50" i="16"/>
  <c r="DG100" i="16"/>
  <c r="EA100" i="16"/>
  <c r="AE70" i="16"/>
  <c r="FO70" i="16"/>
  <c r="CC10" i="16"/>
  <c r="DQ10" i="16"/>
  <c r="EA10" i="16"/>
  <c r="AE90" i="16"/>
  <c r="DG90" i="16"/>
  <c r="CM90" i="16"/>
  <c r="FO90" i="16"/>
  <c r="AE20" i="16"/>
  <c r="CM20" i="16"/>
  <c r="BS20" i="16"/>
  <c r="FO20" i="16"/>
  <c r="GE31" i="16"/>
  <c r="GK31" i="16" s="1"/>
  <c r="GO31" i="16"/>
  <c r="GU31" i="16" s="1"/>
  <c r="FK31" i="16"/>
  <c r="FQ31" i="16" s="1"/>
  <c r="EQ31" i="16"/>
  <c r="EW31" i="16" s="1"/>
  <c r="FU31" i="16"/>
  <c r="DM31" i="16"/>
  <c r="DS31" i="16" s="1"/>
  <c r="BY31" i="16"/>
  <c r="CE31" i="16" s="1"/>
  <c r="BO31" i="16"/>
  <c r="BU31" i="16" s="1"/>
  <c r="FA31" i="16"/>
  <c r="FG31" i="16" s="1"/>
  <c r="CI31" i="16"/>
  <c r="CO31" i="16" s="1"/>
  <c r="AU31" i="16"/>
  <c r="BA31" i="16" s="1"/>
  <c r="AK31" i="16"/>
  <c r="AQ31" i="16" s="1"/>
  <c r="AA31" i="16"/>
  <c r="AG31" i="16" s="1"/>
  <c r="G31" i="16"/>
  <c r="EG31" i="16"/>
  <c r="EM31" i="16" s="1"/>
  <c r="DC31" i="16"/>
  <c r="DI31" i="16" s="1"/>
  <c r="DW31" i="16"/>
  <c r="EC31" i="16" s="1"/>
  <c r="CS31" i="16"/>
  <c r="CY31" i="16" s="1"/>
  <c r="BE31" i="16"/>
  <c r="BK31" i="16" s="1"/>
  <c r="Q31" i="16"/>
  <c r="GO96" i="16"/>
  <c r="GU96" i="16" s="1"/>
  <c r="GE96" i="16"/>
  <c r="GK96" i="16" s="1"/>
  <c r="FU96" i="16"/>
  <c r="GA96" i="16" s="1"/>
  <c r="DW96" i="16"/>
  <c r="EC96" i="16" s="1"/>
  <c r="DM96" i="16"/>
  <c r="DS96" i="16" s="1"/>
  <c r="EQ96" i="16"/>
  <c r="EW96" i="16" s="1"/>
  <c r="BE96" i="16"/>
  <c r="BK96" i="16" s="1"/>
  <c r="BY96" i="16"/>
  <c r="CE96" i="16" s="1"/>
  <c r="BO96" i="16"/>
  <c r="BU96" i="16" s="1"/>
  <c r="AU96" i="16"/>
  <c r="BA96" i="16" s="1"/>
  <c r="AK96" i="16"/>
  <c r="AQ96" i="16" s="1"/>
  <c r="Q96" i="16"/>
  <c r="W96" i="16" s="1"/>
  <c r="AA96" i="16"/>
  <c r="AG96" i="16" s="1"/>
  <c r="CI96" i="16"/>
  <c r="CO96" i="16" s="1"/>
  <c r="G96" i="16"/>
  <c r="FK96" i="16"/>
  <c r="FQ96" i="16" s="1"/>
  <c r="EG96" i="16"/>
  <c r="EM96" i="16" s="1"/>
  <c r="DC96" i="16"/>
  <c r="DI96" i="16" s="1"/>
  <c r="FA96" i="16"/>
  <c r="FG96" i="16" s="1"/>
  <c r="CS96" i="16"/>
  <c r="CY96" i="16" s="1"/>
  <c r="FU46" i="16"/>
  <c r="GA46" i="16" s="1"/>
  <c r="GE46" i="16"/>
  <c r="GK46" i="16" s="1"/>
  <c r="FK46" i="16"/>
  <c r="FQ46" i="16" s="1"/>
  <c r="FA46" i="16"/>
  <c r="FG46" i="16" s="1"/>
  <c r="EG46" i="16"/>
  <c r="EM46" i="16" s="1"/>
  <c r="GO46" i="16"/>
  <c r="GU46" i="16" s="1"/>
  <c r="EQ46" i="16"/>
  <c r="EW46" i="16" s="1"/>
  <c r="CI46" i="16"/>
  <c r="CO46" i="16" s="1"/>
  <c r="AU46" i="16"/>
  <c r="BA46" i="16" s="1"/>
  <c r="AK46" i="16"/>
  <c r="AQ46" i="16" s="1"/>
  <c r="DC46" i="16"/>
  <c r="DI46" i="16" s="1"/>
  <c r="CS46" i="16"/>
  <c r="CY46" i="16" s="1"/>
  <c r="AA46" i="16"/>
  <c r="AG46" i="16" s="1"/>
  <c r="BY46" i="16"/>
  <c r="CE46" i="16" s="1"/>
  <c r="BO46" i="16"/>
  <c r="BU46" i="16" s="1"/>
  <c r="Q46" i="16"/>
  <c r="W46" i="16" s="1"/>
  <c r="DW46" i="16"/>
  <c r="EC46" i="16" s="1"/>
  <c r="BE46" i="16"/>
  <c r="BK46" i="16" s="1"/>
  <c r="DM46" i="16"/>
  <c r="DS46" i="16" s="1"/>
  <c r="G46" i="16"/>
  <c r="M46" i="16" s="1"/>
  <c r="CC40" i="16"/>
  <c r="GI40" i="16"/>
  <c r="DQ110" i="16"/>
  <c r="DG110" i="16"/>
  <c r="FY110" i="16"/>
  <c r="EK116" i="16"/>
  <c r="EI115" i="16"/>
  <c r="GG115" i="16"/>
  <c r="GI116" i="16"/>
  <c r="FE80" i="16"/>
  <c r="FO80" i="16"/>
  <c r="AE60" i="16"/>
  <c r="DG60" i="16"/>
  <c r="BI60" i="16"/>
  <c r="CM30" i="16"/>
  <c r="AE121" i="16"/>
  <c r="BI121" i="16"/>
  <c r="GI121" i="16"/>
  <c r="DQ50" i="16"/>
  <c r="CM50" i="16"/>
  <c r="AE100" i="16"/>
  <c r="BS100" i="16"/>
  <c r="FO100" i="16"/>
  <c r="BS70" i="16"/>
  <c r="CM70" i="16"/>
  <c r="FE70" i="16"/>
  <c r="BI10" i="16"/>
  <c r="AE10" i="16"/>
  <c r="AO10" i="16"/>
  <c r="EI10" i="16"/>
  <c r="EK10" i="16"/>
  <c r="GI10" i="16"/>
  <c r="BI90" i="16"/>
  <c r="BS90" i="16"/>
  <c r="EA90" i="16"/>
  <c r="FY90" i="16"/>
  <c r="AO20" i="16"/>
  <c r="CW20" i="16"/>
  <c r="CC20" i="16"/>
  <c r="FE20" i="16"/>
  <c r="FY20" i="16"/>
  <c r="I115" i="16"/>
  <c r="C107" i="16"/>
  <c r="C108" i="16" s="1"/>
  <c r="GO16" i="16"/>
  <c r="GU16" i="16" s="1"/>
  <c r="GE16" i="16"/>
  <c r="GK16" i="16" s="1"/>
  <c r="FU16" i="16"/>
  <c r="GA16" i="16" s="1"/>
  <c r="DW16" i="16"/>
  <c r="EC16" i="16" s="1"/>
  <c r="DM16" i="16"/>
  <c r="DS16" i="16" s="1"/>
  <c r="FK16" i="16"/>
  <c r="FQ16" i="16" s="1"/>
  <c r="EQ16" i="16"/>
  <c r="EW16" i="16" s="1"/>
  <c r="BE16" i="16"/>
  <c r="BK16" i="16" s="1"/>
  <c r="BY16" i="16"/>
  <c r="CE16" i="16" s="1"/>
  <c r="BO16" i="16"/>
  <c r="BU16" i="16" s="1"/>
  <c r="AU16" i="16"/>
  <c r="BA16" i="16" s="1"/>
  <c r="AK16" i="16"/>
  <c r="AQ16" i="16" s="1"/>
  <c r="Q16" i="16"/>
  <c r="W16" i="16" s="1"/>
  <c r="CI16" i="16"/>
  <c r="CO16" i="16" s="1"/>
  <c r="FA16" i="16"/>
  <c r="FG16" i="16" s="1"/>
  <c r="AA16" i="16"/>
  <c r="AG16" i="16" s="1"/>
  <c r="G16" i="16"/>
  <c r="M16" i="16" s="1"/>
  <c r="EG16" i="16"/>
  <c r="EM16" i="16" s="1"/>
  <c r="DC16" i="16"/>
  <c r="DI16" i="16" s="1"/>
  <c r="CS16" i="16"/>
  <c r="CY16" i="16" s="1"/>
  <c r="GE111" i="16"/>
  <c r="GK111" i="16" s="1"/>
  <c r="FK111" i="16"/>
  <c r="FQ111" i="16" s="1"/>
  <c r="EQ111" i="16"/>
  <c r="EW111" i="16" s="1"/>
  <c r="DM111" i="16"/>
  <c r="DS111" i="16" s="1"/>
  <c r="BY111" i="16"/>
  <c r="CE111" i="16" s="1"/>
  <c r="BO111" i="16"/>
  <c r="BU111" i="16" s="1"/>
  <c r="FA111" i="16"/>
  <c r="FG111" i="16" s="1"/>
  <c r="CI111" i="16"/>
  <c r="CO111" i="16" s="1"/>
  <c r="AU111" i="16"/>
  <c r="BA111" i="16" s="1"/>
  <c r="AK111" i="16"/>
  <c r="AQ111" i="16" s="1"/>
  <c r="G111" i="16"/>
  <c r="GO111" i="16"/>
  <c r="EG111" i="16"/>
  <c r="EM111" i="16" s="1"/>
  <c r="DC111" i="16"/>
  <c r="DI111" i="16" s="1"/>
  <c r="AA111" i="16"/>
  <c r="AG111" i="16" s="1"/>
  <c r="DW111" i="16"/>
  <c r="EC111" i="16" s="1"/>
  <c r="CS111" i="16"/>
  <c r="CY111" i="16" s="1"/>
  <c r="BE111" i="16"/>
  <c r="BK111" i="16" s="1"/>
  <c r="FU111" i="16"/>
  <c r="GA111" i="16" s="1"/>
  <c r="Q111" i="16"/>
  <c r="W111" i="16" s="1"/>
  <c r="GO41" i="16"/>
  <c r="GU41" i="16" s="1"/>
  <c r="GE41" i="16"/>
  <c r="GK41" i="16" s="1"/>
  <c r="FU41" i="16"/>
  <c r="GA41" i="16" s="1"/>
  <c r="FK41" i="16"/>
  <c r="FQ41" i="16" s="1"/>
  <c r="FA41" i="16"/>
  <c r="FG41" i="16" s="1"/>
  <c r="EG41" i="16"/>
  <c r="EM41" i="16" s="1"/>
  <c r="DW41" i="16"/>
  <c r="EC41" i="16" s="1"/>
  <c r="DM41" i="16"/>
  <c r="DS41" i="16" s="1"/>
  <c r="DC41" i="16"/>
  <c r="DI41" i="16" s="1"/>
  <c r="CS41" i="16"/>
  <c r="CY41" i="16" s="1"/>
  <c r="AA41" i="16"/>
  <c r="AG41" i="16" s="1"/>
  <c r="EQ41" i="16"/>
  <c r="EW41" i="16" s="1"/>
  <c r="BE41" i="16"/>
  <c r="BK41" i="16" s="1"/>
  <c r="CI41" i="16"/>
  <c r="CO41" i="16" s="1"/>
  <c r="G41" i="16"/>
  <c r="AU41" i="16"/>
  <c r="BA41" i="16" s="1"/>
  <c r="AK41" i="16"/>
  <c r="AQ41" i="16" s="1"/>
  <c r="Q41" i="16"/>
  <c r="W41" i="16" s="1"/>
  <c r="BY41" i="16"/>
  <c r="CE41" i="16" s="1"/>
  <c r="BO41" i="16"/>
  <c r="BU41" i="16" s="1"/>
  <c r="GE71" i="16"/>
  <c r="GK71" i="16" s="1"/>
  <c r="GO71" i="16"/>
  <c r="GU71" i="16" s="1"/>
  <c r="EQ71" i="16"/>
  <c r="EW71" i="16" s="1"/>
  <c r="FU71" i="16"/>
  <c r="DM71" i="16"/>
  <c r="DS71" i="16" s="1"/>
  <c r="BY71" i="16"/>
  <c r="CE71" i="16" s="1"/>
  <c r="BO71" i="16"/>
  <c r="BU71" i="16" s="1"/>
  <c r="FK71" i="16"/>
  <c r="FQ71" i="16" s="1"/>
  <c r="CI71" i="16"/>
  <c r="CO71" i="16" s="1"/>
  <c r="AU71" i="16"/>
  <c r="BA71" i="16" s="1"/>
  <c r="AK71" i="16"/>
  <c r="AQ71" i="16" s="1"/>
  <c r="FA71" i="16"/>
  <c r="FG71" i="16" s="1"/>
  <c r="DW71" i="16"/>
  <c r="EC71" i="16" s="1"/>
  <c r="AA71" i="16"/>
  <c r="AG71" i="16" s="1"/>
  <c r="G71" i="16"/>
  <c r="DC71" i="16"/>
  <c r="CS71" i="16"/>
  <c r="CY71" i="16" s="1"/>
  <c r="BE71" i="16"/>
  <c r="BK71" i="16" s="1"/>
  <c r="EG71" i="16"/>
  <c r="EM71" i="16" s="1"/>
  <c r="Q71" i="16"/>
  <c r="W71" i="16" s="1"/>
  <c r="GO56" i="16"/>
  <c r="GU56" i="16" s="1"/>
  <c r="FK56" i="16"/>
  <c r="FQ56" i="16" s="1"/>
  <c r="DW56" i="16"/>
  <c r="EC56" i="16" s="1"/>
  <c r="DM56" i="16"/>
  <c r="DS56" i="16" s="1"/>
  <c r="GE56" i="16"/>
  <c r="GK56" i="16" s="1"/>
  <c r="EQ56" i="16"/>
  <c r="EW56" i="16" s="1"/>
  <c r="FA56" i="16"/>
  <c r="FG56" i="16" s="1"/>
  <c r="BE56" i="16"/>
  <c r="BK56" i="16" s="1"/>
  <c r="BY56" i="16"/>
  <c r="CE56" i="16" s="1"/>
  <c r="BO56" i="16"/>
  <c r="BU56" i="16" s="1"/>
  <c r="FU56" i="16"/>
  <c r="GA56" i="16" s="1"/>
  <c r="EG56" i="16"/>
  <c r="EM56" i="16" s="1"/>
  <c r="AU56" i="16"/>
  <c r="BA56" i="16" s="1"/>
  <c r="AK56" i="16"/>
  <c r="AQ56" i="16" s="1"/>
  <c r="Q56" i="16"/>
  <c r="W56" i="16" s="1"/>
  <c r="CI56" i="16"/>
  <c r="CO56" i="16" s="1"/>
  <c r="AA56" i="16"/>
  <c r="AG56" i="16" s="1"/>
  <c r="G56" i="16"/>
  <c r="DC56" i="16"/>
  <c r="DI56" i="16" s="1"/>
  <c r="CS56" i="16"/>
  <c r="CY56" i="16" s="1"/>
  <c r="GO61" i="16"/>
  <c r="GU61" i="16" s="1"/>
  <c r="GE61" i="16"/>
  <c r="GK61" i="16" s="1"/>
  <c r="FU61" i="16"/>
  <c r="GA61" i="16" s="1"/>
  <c r="FK61" i="16"/>
  <c r="FQ61" i="16" s="1"/>
  <c r="FA61" i="16"/>
  <c r="FG61" i="16" s="1"/>
  <c r="EG61" i="16"/>
  <c r="EM61" i="16" s="1"/>
  <c r="DW61" i="16"/>
  <c r="EC61" i="16" s="1"/>
  <c r="DM61" i="16"/>
  <c r="DS61" i="16" s="1"/>
  <c r="DC61" i="16"/>
  <c r="DI61" i="16" s="1"/>
  <c r="CS61" i="16"/>
  <c r="CY61" i="16" s="1"/>
  <c r="AA61" i="16"/>
  <c r="AG61" i="16" s="1"/>
  <c r="BE61" i="16"/>
  <c r="BK61" i="16" s="1"/>
  <c r="BY61" i="16"/>
  <c r="CE61" i="16" s="1"/>
  <c r="BO61" i="16"/>
  <c r="BU61" i="16" s="1"/>
  <c r="Q61" i="16"/>
  <c r="CI61" i="16"/>
  <c r="CO61" i="16" s="1"/>
  <c r="G61" i="16"/>
  <c r="EQ61" i="16"/>
  <c r="EW61" i="16" s="1"/>
  <c r="AK61" i="16"/>
  <c r="AQ61" i="16" s="1"/>
  <c r="AU61" i="16"/>
  <c r="BA61" i="16" s="1"/>
  <c r="AE40" i="16"/>
  <c r="AY40" i="16"/>
  <c r="FY40" i="16"/>
  <c r="DQ40" i="16"/>
  <c r="GS40" i="16"/>
  <c r="BI110" i="16"/>
  <c r="AE110" i="16"/>
  <c r="AO110" i="16"/>
  <c r="EK110" i="16"/>
  <c r="GI110" i="16"/>
  <c r="CK115" i="16"/>
  <c r="CM116" i="16"/>
  <c r="DE115" i="16"/>
  <c r="DG116" i="16"/>
  <c r="BI116" i="16"/>
  <c r="BG115" i="16"/>
  <c r="DY115" i="16"/>
  <c r="EA116" i="16"/>
  <c r="GQ115" i="16"/>
  <c r="GS116" i="16"/>
  <c r="EK80" i="16"/>
  <c r="CC80" i="16"/>
  <c r="DQ80" i="16"/>
  <c r="GS80" i="16"/>
  <c r="FO60" i="16"/>
  <c r="CM60" i="16"/>
  <c r="BS60" i="16"/>
  <c r="EU60" i="16"/>
  <c r="FY60" i="16"/>
  <c r="DQ30" i="16"/>
  <c r="DO30" i="16"/>
  <c r="BS30" i="16"/>
  <c r="DG30" i="16"/>
  <c r="EU30" i="16"/>
  <c r="GQ30" i="16"/>
  <c r="GS30" i="16"/>
  <c r="BS121" i="16"/>
  <c r="AY121" i="16"/>
  <c r="EU121" i="16"/>
  <c r="EA121" i="16"/>
  <c r="FO121" i="16"/>
  <c r="BI50" i="16"/>
  <c r="AE50" i="16"/>
  <c r="FO50" i="16"/>
  <c r="EA50" i="16"/>
  <c r="GI50" i="16"/>
  <c r="AY100" i="16"/>
  <c r="AO100" i="16"/>
  <c r="CC100" i="16"/>
  <c r="FE100" i="16"/>
  <c r="FY100" i="16"/>
  <c r="BI70" i="16"/>
  <c r="CC70" i="16"/>
  <c r="DG70" i="16"/>
  <c r="EU70" i="16"/>
  <c r="FY70" i="16"/>
  <c r="CW10" i="16"/>
  <c r="AY10" i="16"/>
  <c r="FE10" i="16"/>
  <c r="GS10" i="16"/>
  <c r="AC120" i="16"/>
  <c r="CC90" i="16"/>
  <c r="AO90" i="16"/>
  <c r="EK90" i="16"/>
  <c r="GI90" i="16"/>
  <c r="AY20" i="16"/>
  <c r="EK20" i="16"/>
  <c r="DQ20" i="16"/>
  <c r="GI20" i="16"/>
  <c r="GE47" i="16"/>
  <c r="GK47" i="16" s="1"/>
  <c r="FK47" i="16"/>
  <c r="FQ47" i="16" s="1"/>
  <c r="EQ47" i="16"/>
  <c r="EW47" i="16" s="1"/>
  <c r="DM47" i="16"/>
  <c r="DS47" i="16" s="1"/>
  <c r="BY47" i="16"/>
  <c r="CE47" i="16" s="1"/>
  <c r="BO47" i="16"/>
  <c r="BU47" i="16" s="1"/>
  <c r="GO47" i="16"/>
  <c r="GU47" i="16" s="1"/>
  <c r="FA47" i="16"/>
  <c r="FG47" i="16" s="1"/>
  <c r="CI47" i="16"/>
  <c r="CO47" i="16" s="1"/>
  <c r="AU47" i="16"/>
  <c r="BA47" i="16" s="1"/>
  <c r="AK47" i="16"/>
  <c r="AQ47" i="16" s="1"/>
  <c r="AA47" i="16"/>
  <c r="AG47" i="16" s="1"/>
  <c r="G47" i="16"/>
  <c r="M47" i="16" s="1"/>
  <c r="EG47" i="16"/>
  <c r="EM47" i="16" s="1"/>
  <c r="DC47" i="16"/>
  <c r="DI47" i="16" s="1"/>
  <c r="DW47" i="16"/>
  <c r="EC47" i="16" s="1"/>
  <c r="CS47" i="16"/>
  <c r="CY47" i="16" s="1"/>
  <c r="BE47" i="16"/>
  <c r="BK47" i="16" s="1"/>
  <c r="FU47" i="16"/>
  <c r="GA47" i="16" s="1"/>
  <c r="Q47" i="16"/>
  <c r="W47" i="16" s="1"/>
  <c r="GO81" i="16"/>
  <c r="GU81" i="16" s="1"/>
  <c r="FU81" i="16"/>
  <c r="GA81" i="16" s="1"/>
  <c r="FK81" i="16"/>
  <c r="FQ81" i="16" s="1"/>
  <c r="GE81" i="16"/>
  <c r="GK81" i="16" s="1"/>
  <c r="FA81" i="16"/>
  <c r="FG81" i="16" s="1"/>
  <c r="EG81" i="16"/>
  <c r="EM81" i="16" s="1"/>
  <c r="DW81" i="16"/>
  <c r="EC81" i="16" s="1"/>
  <c r="DM81" i="16"/>
  <c r="DC81" i="16"/>
  <c r="DI81" i="16" s="1"/>
  <c r="CS81" i="16"/>
  <c r="CY81" i="16" s="1"/>
  <c r="AA81" i="16"/>
  <c r="AG81" i="16" s="1"/>
  <c r="EQ81" i="16"/>
  <c r="EW81" i="16" s="1"/>
  <c r="BE81" i="16"/>
  <c r="BK81" i="16" s="1"/>
  <c r="CI81" i="16"/>
  <c r="CO81" i="16" s="1"/>
  <c r="G81" i="16"/>
  <c r="BY81" i="16"/>
  <c r="CE81" i="16" s="1"/>
  <c r="BO81" i="16"/>
  <c r="BU81" i="16" s="1"/>
  <c r="AU81" i="16"/>
  <c r="BA81" i="16" s="1"/>
  <c r="AK81" i="16"/>
  <c r="AQ81" i="16" s="1"/>
  <c r="Q81" i="16"/>
  <c r="W81" i="16" s="1"/>
  <c r="GO101" i="16"/>
  <c r="GU101" i="16" s="1"/>
  <c r="FU101" i="16"/>
  <c r="GA101" i="16" s="1"/>
  <c r="FK101" i="16"/>
  <c r="FQ101" i="16" s="1"/>
  <c r="FA101" i="16"/>
  <c r="FG101" i="16" s="1"/>
  <c r="GE101" i="16"/>
  <c r="GK101" i="16" s="1"/>
  <c r="EG101" i="16"/>
  <c r="EM101" i="16" s="1"/>
  <c r="DW101" i="16"/>
  <c r="EC101" i="16" s="1"/>
  <c r="DM101" i="16"/>
  <c r="DS101" i="16" s="1"/>
  <c r="DC101" i="16"/>
  <c r="DI101" i="16" s="1"/>
  <c r="CS101" i="16"/>
  <c r="CY101" i="16" s="1"/>
  <c r="BE101" i="16"/>
  <c r="BK101" i="16" s="1"/>
  <c r="CI101" i="16"/>
  <c r="CO101" i="16" s="1"/>
  <c r="G101" i="16"/>
  <c r="EQ101" i="16"/>
  <c r="EW101" i="16" s="1"/>
  <c r="BY101" i="16"/>
  <c r="CE101" i="16" s="1"/>
  <c r="BO101" i="16"/>
  <c r="Q101" i="16"/>
  <c r="AK101" i="16"/>
  <c r="AQ101" i="16" s="1"/>
  <c r="AA101" i="16"/>
  <c r="AG101" i="16" s="1"/>
  <c r="AU101" i="16"/>
  <c r="BA101" i="16" s="1"/>
  <c r="GE86" i="16"/>
  <c r="GK86" i="16" s="1"/>
  <c r="GO86" i="16"/>
  <c r="GU86" i="16" s="1"/>
  <c r="FU86" i="16"/>
  <c r="GA86" i="16" s="1"/>
  <c r="FA86" i="16"/>
  <c r="FG86" i="16" s="1"/>
  <c r="EG86" i="16"/>
  <c r="EM86" i="16" s="1"/>
  <c r="FK86" i="16"/>
  <c r="FQ86" i="16" s="1"/>
  <c r="EQ86" i="16"/>
  <c r="EW86" i="16" s="1"/>
  <c r="CI86" i="16"/>
  <c r="CO86" i="16" s="1"/>
  <c r="AU86" i="16"/>
  <c r="BA86" i="16" s="1"/>
  <c r="AK86" i="16"/>
  <c r="AQ86" i="16" s="1"/>
  <c r="DC86" i="16"/>
  <c r="DI86" i="16" s="1"/>
  <c r="CS86" i="16"/>
  <c r="CY86" i="16" s="1"/>
  <c r="DM86" i="16"/>
  <c r="DS86" i="16" s="1"/>
  <c r="AA86" i="16"/>
  <c r="AG86" i="16" s="1"/>
  <c r="BY86" i="16"/>
  <c r="CE86" i="16" s="1"/>
  <c r="BO86" i="16"/>
  <c r="BU86" i="16" s="1"/>
  <c r="Q86" i="16"/>
  <c r="W86" i="16" s="1"/>
  <c r="BE86" i="16"/>
  <c r="BK86" i="16" s="1"/>
  <c r="DW86" i="16"/>
  <c r="EC86" i="16" s="1"/>
  <c r="G86" i="16"/>
  <c r="FE40" i="16"/>
  <c r="BS110" i="16"/>
  <c r="CW110" i="16"/>
  <c r="FO110" i="16"/>
  <c r="AM115" i="16"/>
  <c r="AO116" i="16"/>
  <c r="FC115" i="16"/>
  <c r="FE116" i="16"/>
  <c r="AE80" i="16"/>
  <c r="EU80" i="16"/>
  <c r="EK60" i="16"/>
  <c r="GS60" i="16"/>
  <c r="AE30" i="16"/>
  <c r="AY30" i="16"/>
  <c r="GI30" i="16"/>
  <c r="CM121" i="16"/>
  <c r="FE121" i="16"/>
  <c r="CC50" i="16"/>
  <c r="AY50" i="16"/>
  <c r="CM100" i="16"/>
  <c r="BI100" i="16"/>
  <c r="GS100" i="16"/>
  <c r="AY70" i="16"/>
  <c r="GI70" i="16"/>
  <c r="EU10" i="16"/>
  <c r="FY10" i="16"/>
  <c r="EU20" i="16"/>
  <c r="GO122" i="16"/>
  <c r="GU122" i="16" s="1"/>
  <c r="GE122" i="16"/>
  <c r="FU122" i="16"/>
  <c r="GA122" i="16" s="1"/>
  <c r="FK122" i="16"/>
  <c r="FQ122" i="16" s="1"/>
  <c r="FA122" i="16"/>
  <c r="FG122" i="16" s="1"/>
  <c r="EG122" i="16"/>
  <c r="EM122" i="16" s="1"/>
  <c r="DW122" i="16"/>
  <c r="EC122" i="16" s="1"/>
  <c r="CI122" i="16"/>
  <c r="CO122" i="16" s="1"/>
  <c r="AU122" i="16"/>
  <c r="BA122" i="16" s="1"/>
  <c r="AK122" i="16"/>
  <c r="AQ122" i="16" s="1"/>
  <c r="DM122" i="16"/>
  <c r="DS122" i="16" s="1"/>
  <c r="DC122" i="16"/>
  <c r="DI122" i="16" s="1"/>
  <c r="CS122" i="16"/>
  <c r="CY122" i="16" s="1"/>
  <c r="BY122" i="16"/>
  <c r="CE122" i="16" s="1"/>
  <c r="BO122" i="16"/>
  <c r="BU122" i="16" s="1"/>
  <c r="AA122" i="16"/>
  <c r="AG122" i="16" s="1"/>
  <c r="Q122" i="16"/>
  <c r="W122" i="16" s="1"/>
  <c r="BE122" i="16"/>
  <c r="BK122" i="16" s="1"/>
  <c r="EQ122" i="16"/>
  <c r="EW122" i="16" s="1"/>
  <c r="G122" i="16"/>
  <c r="GO76" i="16"/>
  <c r="GU76" i="16" s="1"/>
  <c r="FU76" i="16"/>
  <c r="FK76" i="16"/>
  <c r="FQ76" i="16" s="1"/>
  <c r="DW76" i="16"/>
  <c r="EC76" i="16" s="1"/>
  <c r="DM76" i="16"/>
  <c r="DS76" i="16" s="1"/>
  <c r="FA76" i="16"/>
  <c r="EQ76" i="16"/>
  <c r="EW76" i="16" s="1"/>
  <c r="GE76" i="16"/>
  <c r="GK76" i="16" s="1"/>
  <c r="BE76" i="16"/>
  <c r="BK76" i="16" s="1"/>
  <c r="EG76" i="16"/>
  <c r="EM76" i="16" s="1"/>
  <c r="BY76" i="16"/>
  <c r="CE76" i="16" s="1"/>
  <c r="BO76" i="16"/>
  <c r="BU76" i="16" s="1"/>
  <c r="DC76" i="16"/>
  <c r="DI76" i="16" s="1"/>
  <c r="Q76" i="16"/>
  <c r="W76" i="16" s="1"/>
  <c r="CS76" i="16"/>
  <c r="CY76" i="16" s="1"/>
  <c r="CI76" i="16"/>
  <c r="G76" i="16"/>
  <c r="AU76" i="16"/>
  <c r="AK76" i="16"/>
  <c r="AQ76" i="16" s="1"/>
  <c r="AA76" i="16"/>
  <c r="AG76" i="16" s="1"/>
  <c r="GO117" i="16"/>
  <c r="GU117" i="16" s="1"/>
  <c r="FU117" i="16"/>
  <c r="FK117" i="16"/>
  <c r="FQ117" i="16" s="1"/>
  <c r="FA117" i="16"/>
  <c r="GE117" i="16"/>
  <c r="GK117" i="16" s="1"/>
  <c r="EG117" i="16"/>
  <c r="EM117" i="16" s="1"/>
  <c r="DW117" i="16"/>
  <c r="EC117" i="16" s="1"/>
  <c r="DM117" i="16"/>
  <c r="DC117" i="16"/>
  <c r="DI117" i="16" s="1"/>
  <c r="CS117" i="16"/>
  <c r="CY117" i="16" s="1"/>
  <c r="BE117" i="16"/>
  <c r="BK117" i="16" s="1"/>
  <c r="CI117" i="16"/>
  <c r="G117" i="16"/>
  <c r="K117" i="16" s="1"/>
  <c r="EQ117" i="16"/>
  <c r="EW117" i="16" s="1"/>
  <c r="BY117" i="16"/>
  <c r="CE117" i="16" s="1"/>
  <c r="BO117" i="16"/>
  <c r="BU117" i="16" s="1"/>
  <c r="Q117" i="16"/>
  <c r="AU117" i="16"/>
  <c r="BA117" i="16" s="1"/>
  <c r="AK117" i="16"/>
  <c r="AQ117" i="16" s="1"/>
  <c r="AA117" i="16"/>
  <c r="GO6" i="16"/>
  <c r="GU6" i="16" s="1"/>
  <c r="GE6" i="16"/>
  <c r="GK6" i="16" s="1"/>
  <c r="FU6" i="16"/>
  <c r="GA6" i="16" s="1"/>
  <c r="FA6" i="16"/>
  <c r="FG6" i="16" s="1"/>
  <c r="FK6" i="16"/>
  <c r="FQ6" i="16" s="1"/>
  <c r="EG6" i="16"/>
  <c r="EM6" i="16" s="1"/>
  <c r="EQ6" i="16"/>
  <c r="EW6" i="16" s="1"/>
  <c r="CI6" i="16"/>
  <c r="CO6" i="16" s="1"/>
  <c r="AU6" i="16"/>
  <c r="BA6" i="16" s="1"/>
  <c r="AK6" i="16"/>
  <c r="AQ6" i="16" s="1"/>
  <c r="DC6" i="16"/>
  <c r="DI6" i="16" s="1"/>
  <c r="CS6" i="16"/>
  <c r="CY6" i="16" s="1"/>
  <c r="AA6" i="16"/>
  <c r="AG6" i="16" s="1"/>
  <c r="DM6" i="16"/>
  <c r="DS6" i="16" s="1"/>
  <c r="BY6" i="16"/>
  <c r="CE6" i="16" s="1"/>
  <c r="BE6" i="16"/>
  <c r="BK6" i="16" s="1"/>
  <c r="BO6" i="16"/>
  <c r="BU6" i="16" s="1"/>
  <c r="Q6" i="16"/>
  <c r="W6" i="16" s="1"/>
  <c r="DW6" i="16"/>
  <c r="EC6" i="16" s="1"/>
  <c r="G6" i="16"/>
  <c r="M6" i="16" s="1"/>
  <c r="AO40" i="16"/>
  <c r="EU40" i="16"/>
  <c r="CC110" i="16"/>
  <c r="EU110" i="16"/>
  <c r="DO115" i="16"/>
  <c r="DQ116" i="16"/>
  <c r="DG80" i="16"/>
  <c r="BS80" i="16"/>
  <c r="GI80" i="16"/>
  <c r="EA60" i="16"/>
  <c r="CW30" i="16"/>
  <c r="FO30" i="16"/>
  <c r="AO121" i="16"/>
  <c r="DQ121" i="16"/>
  <c r="EU50" i="16"/>
  <c r="FY50" i="16"/>
  <c r="GG120" i="16"/>
  <c r="DE120" i="16"/>
  <c r="CW100" i="16"/>
  <c r="EU100" i="16"/>
  <c r="CW70" i="16"/>
  <c r="DQ90" i="16"/>
  <c r="D105" i="16"/>
  <c r="GO21" i="16"/>
  <c r="GU21" i="16" s="1"/>
  <c r="GE21" i="16"/>
  <c r="GK21" i="16" s="1"/>
  <c r="FU21" i="16"/>
  <c r="GA21" i="16" s="1"/>
  <c r="FK21" i="16"/>
  <c r="FA21" i="16"/>
  <c r="FG21" i="16" s="1"/>
  <c r="EG21" i="16"/>
  <c r="EM21" i="16" s="1"/>
  <c r="DW21" i="16"/>
  <c r="EC21" i="16" s="1"/>
  <c r="DM21" i="16"/>
  <c r="DS21" i="16" s="1"/>
  <c r="DC21" i="16"/>
  <c r="DI21" i="16" s="1"/>
  <c r="CS21" i="16"/>
  <c r="CY21" i="16" s="1"/>
  <c r="AA21" i="16"/>
  <c r="AG21" i="16" s="1"/>
  <c r="BE21" i="16"/>
  <c r="EQ21" i="16"/>
  <c r="EW21" i="16" s="1"/>
  <c r="BY21" i="16"/>
  <c r="CE21" i="16" s="1"/>
  <c r="BO21" i="16"/>
  <c r="BU21" i="16" s="1"/>
  <c r="Q21" i="16"/>
  <c r="W21" i="16" s="1"/>
  <c r="CI21" i="16"/>
  <c r="CO21" i="16" s="1"/>
  <c r="G21" i="16"/>
  <c r="AU21" i="16"/>
  <c r="BA21" i="16" s="1"/>
  <c r="AK21" i="16"/>
  <c r="GO26" i="16"/>
  <c r="GU26" i="16" s="1"/>
  <c r="FU26" i="16"/>
  <c r="GA26" i="16" s="1"/>
  <c r="GE26" i="16"/>
  <c r="GK26" i="16" s="1"/>
  <c r="FK26" i="16"/>
  <c r="FQ26" i="16" s="1"/>
  <c r="FA26" i="16"/>
  <c r="FG26" i="16" s="1"/>
  <c r="EG26" i="16"/>
  <c r="EM26" i="16" s="1"/>
  <c r="DW26" i="16"/>
  <c r="EC26" i="16" s="1"/>
  <c r="CI26" i="16"/>
  <c r="CO26" i="16" s="1"/>
  <c r="AU26" i="16"/>
  <c r="BA26" i="16" s="1"/>
  <c r="AK26" i="16"/>
  <c r="AQ26" i="16" s="1"/>
  <c r="DM26" i="16"/>
  <c r="DS26" i="16" s="1"/>
  <c r="DC26" i="16"/>
  <c r="DI26" i="16" s="1"/>
  <c r="CS26" i="16"/>
  <c r="CY26" i="16" s="1"/>
  <c r="AA26" i="16"/>
  <c r="AG26" i="16" s="1"/>
  <c r="BY26" i="16"/>
  <c r="CE26" i="16" s="1"/>
  <c r="BO26" i="16"/>
  <c r="BU26" i="16" s="1"/>
  <c r="Q26" i="16"/>
  <c r="W26" i="16" s="1"/>
  <c r="EQ26" i="16"/>
  <c r="EW26" i="16" s="1"/>
  <c r="BE26" i="16"/>
  <c r="BK26" i="16" s="1"/>
  <c r="G26" i="16"/>
  <c r="GO91" i="16"/>
  <c r="GU91" i="16" s="1"/>
  <c r="GE91" i="16"/>
  <c r="GK91" i="16" s="1"/>
  <c r="FU91" i="16"/>
  <c r="GA91" i="16" s="1"/>
  <c r="FA91" i="16"/>
  <c r="FG91" i="16" s="1"/>
  <c r="EQ91" i="16"/>
  <c r="EW91" i="16" s="1"/>
  <c r="FK91" i="16"/>
  <c r="FQ91" i="16" s="1"/>
  <c r="EG91" i="16"/>
  <c r="EM91" i="16" s="1"/>
  <c r="BY91" i="16"/>
  <c r="CE91" i="16" s="1"/>
  <c r="BO91" i="16"/>
  <c r="BU91" i="16" s="1"/>
  <c r="DW91" i="16"/>
  <c r="EC91" i="16" s="1"/>
  <c r="CI91" i="16"/>
  <c r="CO91" i="16" s="1"/>
  <c r="AU91" i="16"/>
  <c r="BA91" i="16" s="1"/>
  <c r="AK91" i="16"/>
  <c r="AQ91" i="16" s="1"/>
  <c r="CS91" i="16"/>
  <c r="CY91" i="16" s="1"/>
  <c r="BE91" i="16"/>
  <c r="BK91" i="16" s="1"/>
  <c r="G91" i="16"/>
  <c r="DM91" i="16"/>
  <c r="DS91" i="16" s="1"/>
  <c r="AA91" i="16"/>
  <c r="AG91" i="16" s="1"/>
  <c r="DC91" i="16"/>
  <c r="DI91" i="16" s="1"/>
  <c r="Q91" i="16"/>
  <c r="W91" i="16" s="1"/>
  <c r="GO51" i="16"/>
  <c r="GU51" i="16" s="1"/>
  <c r="GE51" i="16"/>
  <c r="GK51" i="16" s="1"/>
  <c r="FU51" i="16"/>
  <c r="GA51" i="16" s="1"/>
  <c r="FK51" i="16"/>
  <c r="FQ51" i="16" s="1"/>
  <c r="FA51" i="16"/>
  <c r="FG51" i="16" s="1"/>
  <c r="EQ51" i="16"/>
  <c r="EW51" i="16" s="1"/>
  <c r="EG51" i="16"/>
  <c r="EM51" i="16" s="1"/>
  <c r="BY51" i="16"/>
  <c r="CE51" i="16" s="1"/>
  <c r="BO51" i="16"/>
  <c r="BU51" i="16" s="1"/>
  <c r="DW51" i="16"/>
  <c r="EC51" i="16" s="1"/>
  <c r="CI51" i="16"/>
  <c r="CO51" i="16" s="1"/>
  <c r="AU51" i="16"/>
  <c r="BA51" i="16" s="1"/>
  <c r="AK51" i="16"/>
  <c r="AQ51" i="16" s="1"/>
  <c r="CS51" i="16"/>
  <c r="CY51" i="16" s="1"/>
  <c r="BE51" i="16"/>
  <c r="BK51" i="16" s="1"/>
  <c r="G51" i="16"/>
  <c r="DC51" i="16"/>
  <c r="DI51" i="16" s="1"/>
  <c r="AA51" i="16"/>
  <c r="AG51" i="16" s="1"/>
  <c r="DM51" i="16"/>
  <c r="DS51" i="16" s="1"/>
  <c r="Q51" i="16"/>
  <c r="W51" i="16" s="1"/>
  <c r="GO66" i="16"/>
  <c r="GU66" i="16" s="1"/>
  <c r="GE66" i="16"/>
  <c r="GK66" i="16" s="1"/>
  <c r="FU66" i="16"/>
  <c r="GA66" i="16" s="1"/>
  <c r="FA66" i="16"/>
  <c r="FG66" i="16" s="1"/>
  <c r="FK66" i="16"/>
  <c r="FQ66" i="16" s="1"/>
  <c r="EG66" i="16"/>
  <c r="EM66" i="16" s="1"/>
  <c r="DW66" i="16"/>
  <c r="EC66" i="16" s="1"/>
  <c r="CI66" i="16"/>
  <c r="CO66" i="16" s="1"/>
  <c r="AU66" i="16"/>
  <c r="BA66" i="16" s="1"/>
  <c r="AK66" i="16"/>
  <c r="AQ66" i="16" s="1"/>
  <c r="DM66" i="16"/>
  <c r="DS66" i="16" s="1"/>
  <c r="DC66" i="16"/>
  <c r="DI66" i="16" s="1"/>
  <c r="CS66" i="16"/>
  <c r="CY66" i="16" s="1"/>
  <c r="AA66" i="16"/>
  <c r="AG66" i="16" s="1"/>
  <c r="EQ66" i="16"/>
  <c r="EW66" i="16" s="1"/>
  <c r="BY66" i="16"/>
  <c r="CE66" i="16" s="1"/>
  <c r="BO66" i="16"/>
  <c r="BU66" i="16" s="1"/>
  <c r="BE66" i="16"/>
  <c r="BK66" i="16" s="1"/>
  <c r="Q66" i="16"/>
  <c r="W66" i="16" s="1"/>
  <c r="G66" i="16"/>
  <c r="C37" i="16"/>
  <c r="C38" i="16" s="1"/>
  <c r="GO36" i="16"/>
  <c r="GU36" i="16" s="1"/>
  <c r="FU36" i="16"/>
  <c r="GA36" i="16" s="1"/>
  <c r="FK36" i="16"/>
  <c r="GE36" i="16"/>
  <c r="GK36" i="16" s="1"/>
  <c r="DW36" i="16"/>
  <c r="EC36" i="16" s="1"/>
  <c r="DM36" i="16"/>
  <c r="DS36" i="16" s="1"/>
  <c r="FA36" i="16"/>
  <c r="FG36" i="16" s="1"/>
  <c r="EQ36" i="16"/>
  <c r="EW36" i="16" s="1"/>
  <c r="BE36" i="16"/>
  <c r="BK36" i="16" s="1"/>
  <c r="EG36" i="16"/>
  <c r="EM36" i="16" s="1"/>
  <c r="BY36" i="16"/>
  <c r="BO36" i="16"/>
  <c r="BU36" i="16" s="1"/>
  <c r="DC36" i="16"/>
  <c r="Q36" i="16"/>
  <c r="W36" i="16" s="1"/>
  <c r="CS36" i="16"/>
  <c r="CY36" i="16" s="1"/>
  <c r="CI36" i="16"/>
  <c r="CO36" i="16" s="1"/>
  <c r="G36" i="16"/>
  <c r="AU36" i="16"/>
  <c r="BA36" i="16" s="1"/>
  <c r="AK36" i="16"/>
  <c r="AA36" i="16"/>
  <c r="AG36" i="16" s="1"/>
  <c r="GQ120" i="16"/>
  <c r="CW40" i="16"/>
  <c r="CM40" i="16"/>
  <c r="EK40" i="16"/>
  <c r="BI40" i="16"/>
  <c r="EA40" i="16"/>
  <c r="EA110" i="16"/>
  <c r="GS110" i="16"/>
  <c r="AY110" i="16"/>
  <c r="FE110" i="16"/>
  <c r="AC115" i="16"/>
  <c r="AE116" i="16"/>
  <c r="CW116" i="16"/>
  <c r="CU115" i="16"/>
  <c r="BS116" i="16"/>
  <c r="BQ115" i="16"/>
  <c r="ES115" i="16"/>
  <c r="EU116" i="16"/>
  <c r="FM115" i="16"/>
  <c r="FO116" i="16"/>
  <c r="CM80" i="16"/>
  <c r="AO80" i="16"/>
  <c r="BI80" i="16"/>
  <c r="EA80" i="16"/>
  <c r="AO60" i="16"/>
  <c r="CW60" i="16"/>
  <c r="CC60" i="16"/>
  <c r="FE60" i="16"/>
  <c r="GI60" i="16"/>
  <c r="BI30" i="16"/>
  <c r="CC30" i="16"/>
  <c r="AO30" i="16"/>
  <c r="EK30" i="16"/>
  <c r="FY30" i="16"/>
  <c r="CC121" i="16"/>
  <c r="CW121" i="16"/>
  <c r="EK121" i="16"/>
  <c r="FY121" i="16"/>
  <c r="EI120" i="16"/>
  <c r="BS50" i="16"/>
  <c r="CW50" i="16"/>
  <c r="AO50" i="16"/>
  <c r="EK50" i="16"/>
  <c r="GS50" i="16"/>
  <c r="ES120" i="16"/>
  <c r="AM120" i="16"/>
  <c r="EK100" i="16"/>
  <c r="DQ100" i="16"/>
  <c r="GI100" i="16"/>
  <c r="EA70" i="16"/>
  <c r="DQ70" i="16"/>
  <c r="AO70" i="16"/>
  <c r="EK70" i="16"/>
  <c r="GS70" i="16"/>
  <c r="CU120" i="16"/>
  <c r="BS10" i="16"/>
  <c r="DG10" i="16"/>
  <c r="CM10" i="16"/>
  <c r="FO10" i="16"/>
  <c r="BG120" i="16"/>
  <c r="EU90" i="16"/>
  <c r="CW90" i="16"/>
  <c r="AY90" i="16"/>
  <c r="FE90" i="16"/>
  <c r="GS90" i="16"/>
  <c r="DG20" i="16"/>
  <c r="BI20" i="16"/>
  <c r="EA20" i="16"/>
  <c r="GS20" i="16"/>
  <c r="U45" i="16"/>
  <c r="U115" i="16"/>
  <c r="C48" i="16"/>
  <c r="C49" i="16" s="1"/>
  <c r="C87" i="16"/>
  <c r="D70" i="16"/>
  <c r="D100" i="16"/>
  <c r="D85" i="16"/>
  <c r="D80" i="16"/>
  <c r="C62" i="16"/>
  <c r="D61" i="16" s="1"/>
  <c r="D60" i="16"/>
  <c r="D10" i="16"/>
  <c r="C7" i="16"/>
  <c r="C12" i="16"/>
  <c r="D5" i="16"/>
  <c r="C72" i="16"/>
  <c r="D30" i="16"/>
  <c r="D65" i="16"/>
  <c r="C102" i="16"/>
  <c r="D25" i="16"/>
  <c r="C57" i="16"/>
  <c r="C67" i="16"/>
  <c r="D55" i="16"/>
  <c r="D110" i="16"/>
  <c r="C77" i="16"/>
  <c r="C92" i="16"/>
  <c r="D90" i="16"/>
  <c r="D50" i="16"/>
  <c r="D95" i="16"/>
  <c r="C97" i="16"/>
  <c r="C52" i="16"/>
  <c r="D15" i="16"/>
  <c r="C118" i="16"/>
  <c r="D116" i="16"/>
  <c r="C32" i="16"/>
  <c r="C27" i="16"/>
  <c r="C22" i="16"/>
  <c r="C42" i="16"/>
  <c r="D40" i="16"/>
  <c r="D20" i="16"/>
  <c r="C112" i="16"/>
  <c r="D75" i="16"/>
  <c r="C82" i="16"/>
  <c r="C17" i="16"/>
  <c r="D121" i="16"/>
  <c r="D46" i="16"/>
  <c r="I120" i="16"/>
  <c r="K121" i="16"/>
  <c r="C123" i="16"/>
  <c r="AM50" i="16" l="1"/>
  <c r="CU116" i="16"/>
  <c r="D47" i="16"/>
  <c r="DY60" i="16"/>
  <c r="FW10" i="16"/>
  <c r="GQ10" i="16"/>
  <c r="AQ36" i="16"/>
  <c r="AR35" i="16" s="1"/>
  <c r="DI36" i="16"/>
  <c r="DJ35" i="16" s="1"/>
  <c r="CE36" i="16"/>
  <c r="CF35" i="16" s="1"/>
  <c r="FQ36" i="16"/>
  <c r="FR35" i="16" s="1"/>
  <c r="AQ21" i="16"/>
  <c r="AR20" i="16" s="1"/>
  <c r="BK21" i="16"/>
  <c r="BL20" i="16" s="1"/>
  <c r="FQ21" i="16"/>
  <c r="FR20" i="16" s="1"/>
  <c r="AG117" i="16"/>
  <c r="AH116" i="16" s="1"/>
  <c r="CO117" i="16"/>
  <c r="CP116" i="16" s="1"/>
  <c r="DS117" i="16"/>
  <c r="DT116" i="16" s="1"/>
  <c r="FG117" i="16"/>
  <c r="FH116" i="16" s="1"/>
  <c r="GA117" i="16"/>
  <c r="GB116" i="16" s="1"/>
  <c r="BA76" i="16"/>
  <c r="BB75" i="16" s="1"/>
  <c r="CO76" i="16"/>
  <c r="CP75" i="16" s="1"/>
  <c r="FG76" i="16"/>
  <c r="FH75" i="16" s="1"/>
  <c r="GA76" i="16"/>
  <c r="GB75" i="16" s="1"/>
  <c r="GK122" i="16"/>
  <c r="GL121" i="16" s="1"/>
  <c r="BU101" i="16"/>
  <c r="BV100" i="16" s="1"/>
  <c r="DS81" i="16"/>
  <c r="DT80" i="16" s="1"/>
  <c r="DI71" i="16"/>
  <c r="DJ70" i="16" s="1"/>
  <c r="GA71" i="16"/>
  <c r="GB70" i="16" s="1"/>
  <c r="GU111" i="16"/>
  <c r="GV110" i="16" s="1"/>
  <c r="GA31" i="16"/>
  <c r="GB30" i="16" s="1"/>
  <c r="W117" i="16"/>
  <c r="X116" i="16" s="1"/>
  <c r="W101" i="16"/>
  <c r="X100" i="16" s="1"/>
  <c r="W61" i="16"/>
  <c r="X60" i="16" s="1"/>
  <c r="W31" i="16"/>
  <c r="X30" i="16" s="1"/>
  <c r="AH35" i="16"/>
  <c r="CP35" i="16"/>
  <c r="EN35" i="16"/>
  <c r="GL35" i="16"/>
  <c r="BV65" i="16"/>
  <c r="EX65" i="16"/>
  <c r="CZ65" i="16"/>
  <c r="DT65" i="16"/>
  <c r="BB65" i="16"/>
  <c r="ED65" i="16"/>
  <c r="FR65" i="16"/>
  <c r="GB65" i="16"/>
  <c r="GV65" i="16"/>
  <c r="DQ51" i="16"/>
  <c r="DG51" i="16"/>
  <c r="BG50" i="16"/>
  <c r="AO51" i="16"/>
  <c r="BS51" i="16"/>
  <c r="EI50" i="16"/>
  <c r="FE51" i="16"/>
  <c r="FY51" i="16"/>
  <c r="GS51" i="16"/>
  <c r="DG91" i="16"/>
  <c r="DQ91" i="16"/>
  <c r="AO91" i="16"/>
  <c r="CM91" i="16"/>
  <c r="BS91" i="16"/>
  <c r="EU91" i="16"/>
  <c r="FY91" i="16"/>
  <c r="GS91" i="16"/>
  <c r="BL25" i="16"/>
  <c r="CF25" i="16"/>
  <c r="CZ25" i="16"/>
  <c r="DT25" i="16"/>
  <c r="BB25" i="16"/>
  <c r="ED25" i="16"/>
  <c r="FH25" i="16"/>
  <c r="GL25" i="16"/>
  <c r="GV25" i="16"/>
  <c r="BQ20" i="16"/>
  <c r="ES20" i="16"/>
  <c r="DE20" i="16"/>
  <c r="DY20" i="16"/>
  <c r="FC20" i="16"/>
  <c r="GQ20" i="16"/>
  <c r="ED5" i="16"/>
  <c r="BV5" i="16"/>
  <c r="CF5" i="16"/>
  <c r="AH5" i="16"/>
  <c r="DJ5" i="16"/>
  <c r="BB5" i="16"/>
  <c r="EX5" i="16"/>
  <c r="FR5" i="16"/>
  <c r="GB5" i="16"/>
  <c r="GV5" i="16"/>
  <c r="BG116" i="16"/>
  <c r="GG116" i="16"/>
  <c r="GQ116" i="16"/>
  <c r="BL75" i="16"/>
  <c r="BQ121" i="16"/>
  <c r="BV121" i="16"/>
  <c r="CW122" i="16"/>
  <c r="DO121" i="16"/>
  <c r="AW121" i="16"/>
  <c r="BB121" i="16"/>
  <c r="FC121" i="16"/>
  <c r="FH121" i="16"/>
  <c r="FW121" i="16"/>
  <c r="GQ121" i="16"/>
  <c r="ED85" i="16"/>
  <c r="CF85" i="16"/>
  <c r="DT85" i="16"/>
  <c r="DJ85" i="16"/>
  <c r="BB85" i="16"/>
  <c r="EX85" i="16"/>
  <c r="EN85" i="16"/>
  <c r="GB85" i="16"/>
  <c r="GL85" i="16"/>
  <c r="DE100" i="16"/>
  <c r="DY100" i="16"/>
  <c r="GG100" i="16"/>
  <c r="GQ100" i="16"/>
  <c r="BQ80" i="16"/>
  <c r="BG80" i="16"/>
  <c r="AC80" i="16"/>
  <c r="DE80" i="16"/>
  <c r="GQ80" i="16"/>
  <c r="AM60" i="16"/>
  <c r="FC60" i="16"/>
  <c r="FW60" i="16"/>
  <c r="DJ55" i="16"/>
  <c r="AH55" i="16"/>
  <c r="BB55" i="16"/>
  <c r="GB55" i="16"/>
  <c r="CF55" i="16"/>
  <c r="FH55" i="16"/>
  <c r="GL55" i="16"/>
  <c r="ED55" i="16"/>
  <c r="GV55" i="16"/>
  <c r="EK71" i="16"/>
  <c r="AM70" i="16"/>
  <c r="CK70" i="16"/>
  <c r="BQ70" i="16"/>
  <c r="ES70" i="16"/>
  <c r="BG40" i="16"/>
  <c r="AC40" i="16"/>
  <c r="DY40" i="16"/>
  <c r="FC40" i="16"/>
  <c r="FW40" i="16"/>
  <c r="AC110" i="16"/>
  <c r="EK111" i="16"/>
  <c r="AW110" i="16"/>
  <c r="FC110" i="16"/>
  <c r="ES110" i="16"/>
  <c r="DJ15" i="16"/>
  <c r="FH15" i="16"/>
  <c r="BB15" i="16"/>
  <c r="CF15" i="16"/>
  <c r="EX15" i="16"/>
  <c r="DT15" i="16"/>
  <c r="GB15" i="16"/>
  <c r="GV15" i="16"/>
  <c r="BL46" i="16"/>
  <c r="BL45" i="16"/>
  <c r="CF46" i="16"/>
  <c r="CF45" i="16"/>
  <c r="CZ46" i="16"/>
  <c r="CZ45" i="16"/>
  <c r="AR46" i="16"/>
  <c r="AR45" i="16"/>
  <c r="CP46" i="16"/>
  <c r="CP45" i="16"/>
  <c r="GV46" i="16"/>
  <c r="GV45" i="16"/>
  <c r="FH46" i="16"/>
  <c r="FH45" i="16"/>
  <c r="GL46" i="16"/>
  <c r="GL45" i="16"/>
  <c r="CZ95" i="16"/>
  <c r="DJ95" i="16"/>
  <c r="FR95" i="16"/>
  <c r="CP95" i="16"/>
  <c r="BB95" i="16"/>
  <c r="CF95" i="16"/>
  <c r="EX95" i="16"/>
  <c r="ED95" i="16"/>
  <c r="GL95" i="16"/>
  <c r="CU30" i="16"/>
  <c r="DE30" i="16"/>
  <c r="AM30" i="16"/>
  <c r="CK30" i="16"/>
  <c r="EX105" i="16"/>
  <c r="AH105" i="16"/>
  <c r="CF105" i="16"/>
  <c r="DJ105" i="16"/>
  <c r="AR105" i="16"/>
  <c r="CP105" i="16"/>
  <c r="EN105" i="16"/>
  <c r="FR105" i="16"/>
  <c r="GL105" i="16"/>
  <c r="FO11" i="16"/>
  <c r="AC10" i="16"/>
  <c r="BG10" i="16"/>
  <c r="AO11" i="16"/>
  <c r="CK10" i="16"/>
  <c r="BS11" i="16"/>
  <c r="EU11" i="16"/>
  <c r="FY11" i="16"/>
  <c r="DJ75" i="16"/>
  <c r="CZ75" i="16"/>
  <c r="DT35" i="16"/>
  <c r="BB20" i="16"/>
  <c r="EN90" i="16"/>
  <c r="EN10" i="16"/>
  <c r="BL100" i="16"/>
  <c r="DT121" i="16"/>
  <c r="DT120" i="16"/>
  <c r="CF120" i="16"/>
  <c r="CF60" i="16"/>
  <c r="AH60" i="16"/>
  <c r="ED80" i="16"/>
  <c r="AR80" i="16"/>
  <c r="CF40" i="16"/>
  <c r="AR40" i="16"/>
  <c r="CF75" i="16"/>
  <c r="BB35" i="16"/>
  <c r="GB35" i="16"/>
  <c r="BL90" i="16"/>
  <c r="DT70" i="16"/>
  <c r="ED70" i="16"/>
  <c r="FR100" i="16"/>
  <c r="AH100" i="16"/>
  <c r="EX121" i="16"/>
  <c r="GV30" i="16"/>
  <c r="EX30" i="16"/>
  <c r="BV30" i="16"/>
  <c r="DT30" i="16"/>
  <c r="DJ116" i="16"/>
  <c r="GL110" i="16"/>
  <c r="CZ35" i="16"/>
  <c r="BL35" i="16"/>
  <c r="BL65" i="16"/>
  <c r="CF65" i="16"/>
  <c r="AH65" i="16"/>
  <c r="DJ65" i="16"/>
  <c r="AR65" i="16"/>
  <c r="CP65" i="16"/>
  <c r="EN65" i="16"/>
  <c r="FH65" i="16"/>
  <c r="GL65" i="16"/>
  <c r="CU50" i="16"/>
  <c r="AY51" i="16"/>
  <c r="EA51" i="16"/>
  <c r="CC51" i="16"/>
  <c r="EU51" i="16"/>
  <c r="FO51" i="16"/>
  <c r="GG50" i="16"/>
  <c r="AE91" i="16"/>
  <c r="CU90" i="16"/>
  <c r="AY91" i="16"/>
  <c r="EA91" i="16"/>
  <c r="CC91" i="16"/>
  <c r="FO91" i="16"/>
  <c r="FE91" i="16"/>
  <c r="GI91" i="16"/>
  <c r="EX25" i="16"/>
  <c r="BV25" i="16"/>
  <c r="AH25" i="16"/>
  <c r="DJ25" i="16"/>
  <c r="AR25" i="16"/>
  <c r="CP25" i="16"/>
  <c r="EN25" i="16"/>
  <c r="FR25" i="16"/>
  <c r="GB25" i="16"/>
  <c r="CA20" i="16"/>
  <c r="CU20" i="16"/>
  <c r="DO20" i="16"/>
  <c r="EI20" i="16"/>
  <c r="GG20" i="16"/>
  <c r="BL5" i="16"/>
  <c r="DT5" i="16"/>
  <c r="CZ5" i="16"/>
  <c r="AR5" i="16"/>
  <c r="CP5" i="16"/>
  <c r="EN5" i="16"/>
  <c r="FH5" i="16"/>
  <c r="GL5" i="16"/>
  <c r="AW116" i="16"/>
  <c r="BQ116" i="16"/>
  <c r="ES116" i="16"/>
  <c r="EI116" i="16"/>
  <c r="EN75" i="16"/>
  <c r="BG121" i="16"/>
  <c r="CA121" i="16"/>
  <c r="AM121" i="16"/>
  <c r="EI121" i="16"/>
  <c r="BL85" i="16"/>
  <c r="BV85" i="16"/>
  <c r="AH85" i="16"/>
  <c r="CZ85" i="16"/>
  <c r="AR85" i="16"/>
  <c r="CP85" i="16"/>
  <c r="FR85" i="16"/>
  <c r="FH85" i="16"/>
  <c r="GV85" i="16"/>
  <c r="AW100" i="16"/>
  <c r="ES100" i="16"/>
  <c r="CK100" i="16"/>
  <c r="CU100" i="16"/>
  <c r="EI100" i="16"/>
  <c r="FW100" i="16"/>
  <c r="CA80" i="16"/>
  <c r="CK80" i="16"/>
  <c r="CU80" i="16"/>
  <c r="EI80" i="16"/>
  <c r="FW80" i="16"/>
  <c r="EK47" i="16"/>
  <c r="AW60" i="16"/>
  <c r="ES60" i="16"/>
  <c r="BQ60" i="16"/>
  <c r="CU60" i="16"/>
  <c r="EI60" i="16"/>
  <c r="FM60" i="16"/>
  <c r="GG60" i="16"/>
  <c r="CZ55" i="16"/>
  <c r="CP55" i="16"/>
  <c r="AR55" i="16"/>
  <c r="BV55" i="16"/>
  <c r="BL55" i="16"/>
  <c r="EX55" i="16"/>
  <c r="DT55" i="16"/>
  <c r="FR55" i="16"/>
  <c r="BI71" i="16"/>
  <c r="AW70" i="16"/>
  <c r="FM70" i="16"/>
  <c r="CA70" i="16"/>
  <c r="GQ70" i="16"/>
  <c r="BQ40" i="16"/>
  <c r="AW40" i="16"/>
  <c r="CK40" i="16"/>
  <c r="ES40" i="16"/>
  <c r="CU40" i="16"/>
  <c r="DO40" i="16"/>
  <c r="EI40" i="16"/>
  <c r="FM40" i="16"/>
  <c r="GG40" i="16"/>
  <c r="BG110" i="16"/>
  <c r="DY110" i="16"/>
  <c r="DE110" i="16"/>
  <c r="AM110" i="16"/>
  <c r="CK110" i="16"/>
  <c r="BQ110" i="16"/>
  <c r="DO110" i="16"/>
  <c r="FM110" i="16"/>
  <c r="CZ15" i="16"/>
  <c r="AH15" i="16"/>
  <c r="CP15" i="16"/>
  <c r="AR15" i="16"/>
  <c r="BV15" i="16"/>
  <c r="BL15" i="16"/>
  <c r="FR15" i="16"/>
  <c r="ED15" i="16"/>
  <c r="GL15" i="16"/>
  <c r="DT46" i="16"/>
  <c r="DT45" i="16"/>
  <c r="ED46" i="16"/>
  <c r="ED45" i="16"/>
  <c r="BV46" i="16"/>
  <c r="BV45" i="16"/>
  <c r="AH46" i="16"/>
  <c r="AH45" i="16"/>
  <c r="DJ46" i="16"/>
  <c r="DJ45" i="16"/>
  <c r="BB46" i="16"/>
  <c r="BB45" i="16"/>
  <c r="EX46" i="16"/>
  <c r="EX45" i="16"/>
  <c r="EN46" i="16"/>
  <c r="EN45" i="16"/>
  <c r="FR46" i="16"/>
  <c r="FR45" i="16"/>
  <c r="GB46" i="16"/>
  <c r="GB45" i="16"/>
  <c r="FH95" i="16"/>
  <c r="EN95" i="16"/>
  <c r="AH95" i="16"/>
  <c r="AR95" i="16"/>
  <c r="BV95" i="16"/>
  <c r="BL95" i="16"/>
  <c r="DT95" i="16"/>
  <c r="GB95" i="16"/>
  <c r="GV95" i="16"/>
  <c r="BI31" i="16"/>
  <c r="DY30" i="16"/>
  <c r="EK31" i="16"/>
  <c r="AW30" i="16"/>
  <c r="CA30" i="16"/>
  <c r="FM30" i="16"/>
  <c r="GG30" i="16"/>
  <c r="BL105" i="16"/>
  <c r="BV105" i="16"/>
  <c r="CZ105" i="16"/>
  <c r="DT105" i="16"/>
  <c r="BB105" i="16"/>
  <c r="ED105" i="16"/>
  <c r="FH105" i="16"/>
  <c r="GB105" i="16"/>
  <c r="GV105" i="16"/>
  <c r="DG11" i="16"/>
  <c r="DQ11" i="16"/>
  <c r="CW11" i="16"/>
  <c r="AY11" i="16"/>
  <c r="EA11" i="16"/>
  <c r="CC11" i="16"/>
  <c r="GG10" i="16"/>
  <c r="FE11" i="16"/>
  <c r="GS11" i="16"/>
  <c r="AH75" i="16"/>
  <c r="EN15" i="16"/>
  <c r="DT75" i="16"/>
  <c r="AR75" i="16"/>
  <c r="BV75" i="16"/>
  <c r="BV35" i="16"/>
  <c r="CP20" i="16"/>
  <c r="AH20" i="16"/>
  <c r="GL70" i="16"/>
  <c r="AH70" i="16"/>
  <c r="FH100" i="16"/>
  <c r="CF100" i="16"/>
  <c r="AR100" i="16"/>
  <c r="CP50" i="16"/>
  <c r="AH121" i="16"/>
  <c r="ED60" i="16"/>
  <c r="BL60" i="16"/>
  <c r="DJ60" i="16"/>
  <c r="GL80" i="16"/>
  <c r="FR80" i="16"/>
  <c r="FH80" i="16"/>
  <c r="FR116" i="16"/>
  <c r="CZ116" i="16"/>
  <c r="GB110" i="16"/>
  <c r="CF110" i="16"/>
  <c r="FR75" i="16"/>
  <c r="ED75" i="16"/>
  <c r="EX75" i="16"/>
  <c r="GV75" i="16"/>
  <c r="ED35" i="16"/>
  <c r="EX35" i="16"/>
  <c r="GV35" i="16"/>
  <c r="EN55" i="16"/>
  <c r="GL75" i="16"/>
  <c r="FH35" i="16"/>
  <c r="GB20" i="16"/>
  <c r="FH70" i="16"/>
  <c r="CZ70" i="16"/>
  <c r="DT100" i="16"/>
  <c r="AH50" i="16"/>
  <c r="FR121" i="16"/>
  <c r="FR120" i="16"/>
  <c r="FH120" i="16"/>
  <c r="ED121" i="16"/>
  <c r="ED120" i="16"/>
  <c r="DJ121" i="16"/>
  <c r="CP121" i="16"/>
  <c r="CP120" i="16"/>
  <c r="BB120" i="16"/>
  <c r="BV120" i="16"/>
  <c r="FH30" i="16"/>
  <c r="AH30" i="16"/>
  <c r="GV60" i="16"/>
  <c r="DT60" i="16"/>
  <c r="CP60" i="16"/>
  <c r="EX80" i="16"/>
  <c r="BB80" i="16"/>
  <c r="ED116" i="16"/>
  <c r="CF116" i="16"/>
  <c r="AR116" i="16"/>
  <c r="CZ110" i="16"/>
  <c r="GV40" i="16"/>
  <c r="DJ40" i="16"/>
  <c r="X75" i="16"/>
  <c r="X105" i="16"/>
  <c r="X5" i="16"/>
  <c r="X110" i="16"/>
  <c r="X20" i="16"/>
  <c r="X70" i="16"/>
  <c r="X35" i="16"/>
  <c r="X65" i="16"/>
  <c r="X25" i="16"/>
  <c r="X85" i="16"/>
  <c r="X55" i="16"/>
  <c r="X15" i="16"/>
  <c r="X46" i="16"/>
  <c r="X45" i="16"/>
  <c r="X95" i="16"/>
  <c r="X10" i="16"/>
  <c r="X121" i="16"/>
  <c r="X80" i="16"/>
  <c r="X40" i="16"/>
  <c r="X90" i="16"/>
  <c r="X50" i="16"/>
  <c r="K36" i="16"/>
  <c r="M36" i="16"/>
  <c r="K66" i="16"/>
  <c r="M66" i="16"/>
  <c r="I50" i="16"/>
  <c r="M51" i="16"/>
  <c r="N50" i="16" s="1"/>
  <c r="K91" i="16"/>
  <c r="M91" i="16"/>
  <c r="N90" i="16" s="1"/>
  <c r="I25" i="16"/>
  <c r="M26" i="16"/>
  <c r="K21" i="16"/>
  <c r="M21" i="16"/>
  <c r="N20" i="16" s="1"/>
  <c r="I5" i="16"/>
  <c r="K122" i="16"/>
  <c r="M122" i="16"/>
  <c r="I85" i="16"/>
  <c r="M86" i="16"/>
  <c r="K56" i="16"/>
  <c r="M56" i="16"/>
  <c r="I95" i="16"/>
  <c r="M96" i="16"/>
  <c r="K11" i="16"/>
  <c r="N10" i="16"/>
  <c r="N115" i="16"/>
  <c r="I116" i="16"/>
  <c r="S115" i="16" s="1"/>
  <c r="M117" i="16"/>
  <c r="K76" i="16"/>
  <c r="M76" i="16"/>
  <c r="I100" i="16"/>
  <c r="M101" i="16"/>
  <c r="K81" i="16"/>
  <c r="M81" i="16"/>
  <c r="I60" i="16"/>
  <c r="M61" i="16"/>
  <c r="N60" i="16" s="1"/>
  <c r="K71" i="16"/>
  <c r="M71" i="16"/>
  <c r="N70" i="16" s="1"/>
  <c r="I40" i="16"/>
  <c r="M41" i="16"/>
  <c r="I110" i="16"/>
  <c r="M111" i="16"/>
  <c r="N110" i="16" s="1"/>
  <c r="K16" i="16"/>
  <c r="N46" i="16"/>
  <c r="I30" i="16"/>
  <c r="M31" i="16"/>
  <c r="K106" i="16"/>
  <c r="M106" i="16"/>
  <c r="N45" i="16"/>
  <c r="CU10" i="16"/>
  <c r="K31" i="16"/>
  <c r="FM10" i="16"/>
  <c r="GQ50" i="16"/>
  <c r="K51" i="16"/>
  <c r="FC90" i="16"/>
  <c r="C63" i="16"/>
  <c r="FK63" i="16" s="1"/>
  <c r="FQ63" i="16" s="1"/>
  <c r="I55" i="16"/>
  <c r="EI70" i="16"/>
  <c r="K41" i="16"/>
  <c r="BG70" i="16"/>
  <c r="D36" i="16"/>
  <c r="K86" i="16"/>
  <c r="EI30" i="16"/>
  <c r="K96" i="16"/>
  <c r="I75" i="16"/>
  <c r="EI110" i="16"/>
  <c r="K61" i="16"/>
  <c r="CU121" i="16"/>
  <c r="I20" i="16"/>
  <c r="I35" i="16"/>
  <c r="GQ90" i="16"/>
  <c r="DY10" i="16"/>
  <c r="K6" i="16"/>
  <c r="BG30" i="16"/>
  <c r="DO90" i="16"/>
  <c r="DO10" i="16"/>
  <c r="DE50" i="16"/>
  <c r="ES90" i="16"/>
  <c r="BQ50" i="16"/>
  <c r="FW50" i="16"/>
  <c r="K111" i="16"/>
  <c r="I10" i="16"/>
  <c r="DE10" i="16"/>
  <c r="DE90" i="16"/>
  <c r="CA10" i="16"/>
  <c r="BQ90" i="16"/>
  <c r="FM90" i="16"/>
  <c r="AC90" i="16"/>
  <c r="GO108" i="16"/>
  <c r="GU108" i="16" s="1"/>
  <c r="FU108" i="16"/>
  <c r="GA108" i="16" s="1"/>
  <c r="FK108" i="16"/>
  <c r="FQ108" i="16" s="1"/>
  <c r="DW108" i="16"/>
  <c r="EC108" i="16" s="1"/>
  <c r="DM108" i="16"/>
  <c r="DS108" i="16" s="1"/>
  <c r="FA108" i="16"/>
  <c r="FG108" i="16" s="1"/>
  <c r="EQ108" i="16"/>
  <c r="EW108" i="16" s="1"/>
  <c r="BE108" i="16"/>
  <c r="BK108" i="16" s="1"/>
  <c r="EG108" i="16"/>
  <c r="EM108" i="16" s="1"/>
  <c r="BY108" i="16"/>
  <c r="CE108" i="16" s="1"/>
  <c r="BO108" i="16"/>
  <c r="BU108" i="16" s="1"/>
  <c r="DC108" i="16"/>
  <c r="DI108" i="16" s="1"/>
  <c r="Q108" i="16"/>
  <c r="W108" i="16" s="1"/>
  <c r="AU108" i="16"/>
  <c r="BA108" i="16" s="1"/>
  <c r="CS108" i="16"/>
  <c r="CY108" i="16" s="1"/>
  <c r="CI108" i="16"/>
  <c r="CO108" i="16" s="1"/>
  <c r="G108" i="16"/>
  <c r="AK108" i="16"/>
  <c r="AQ108" i="16" s="1"/>
  <c r="AA108" i="16"/>
  <c r="AG108" i="16" s="1"/>
  <c r="GE108" i="16"/>
  <c r="GK108" i="16" s="1"/>
  <c r="GO49" i="16"/>
  <c r="GE49" i="16"/>
  <c r="FU49" i="16"/>
  <c r="FK49" i="16"/>
  <c r="FA49" i="16"/>
  <c r="EG49" i="16"/>
  <c r="DW49" i="16"/>
  <c r="DM49" i="16"/>
  <c r="DC49" i="16"/>
  <c r="CS49" i="16"/>
  <c r="AA49" i="16"/>
  <c r="EQ49" i="16"/>
  <c r="BE49" i="16"/>
  <c r="CI49" i="16"/>
  <c r="G49" i="16"/>
  <c r="M49" i="16" s="1"/>
  <c r="N49" i="16" s="1"/>
  <c r="BY49" i="16"/>
  <c r="BO49" i="16"/>
  <c r="AU49" i="16"/>
  <c r="AK49" i="16"/>
  <c r="Q49" i="16"/>
  <c r="GE27" i="16"/>
  <c r="GK27" i="16" s="1"/>
  <c r="GO27" i="16"/>
  <c r="GU27" i="16" s="1"/>
  <c r="FU27" i="16"/>
  <c r="GA27" i="16" s="1"/>
  <c r="FA27" i="16"/>
  <c r="FG27" i="16" s="1"/>
  <c r="EQ27" i="16"/>
  <c r="EW27" i="16" s="1"/>
  <c r="FK27" i="16"/>
  <c r="FQ27" i="16" s="1"/>
  <c r="EG27" i="16"/>
  <c r="EM27" i="16" s="1"/>
  <c r="BY27" i="16"/>
  <c r="CE27" i="16" s="1"/>
  <c r="BO27" i="16"/>
  <c r="BU27" i="16" s="1"/>
  <c r="DW27" i="16"/>
  <c r="EC27" i="16" s="1"/>
  <c r="CI27" i="16"/>
  <c r="CO27" i="16" s="1"/>
  <c r="AU27" i="16"/>
  <c r="BA27" i="16" s="1"/>
  <c r="AK27" i="16"/>
  <c r="AQ27" i="16" s="1"/>
  <c r="CS27" i="16"/>
  <c r="CY27" i="16" s="1"/>
  <c r="BE27" i="16"/>
  <c r="BK27" i="16" s="1"/>
  <c r="G27" i="16"/>
  <c r="AA27" i="16"/>
  <c r="AG27" i="16" s="1"/>
  <c r="DM27" i="16"/>
  <c r="DS27" i="16" s="1"/>
  <c r="DC27" i="16"/>
  <c r="DI27" i="16" s="1"/>
  <c r="Q27" i="16"/>
  <c r="W27" i="16" s="1"/>
  <c r="GO67" i="16"/>
  <c r="GU67" i="16" s="1"/>
  <c r="GE67" i="16"/>
  <c r="GK67" i="16" s="1"/>
  <c r="FU67" i="16"/>
  <c r="GA67" i="16" s="1"/>
  <c r="FK67" i="16"/>
  <c r="FQ67" i="16" s="1"/>
  <c r="FA67" i="16"/>
  <c r="FG67" i="16" s="1"/>
  <c r="EQ67" i="16"/>
  <c r="EW67" i="16" s="1"/>
  <c r="EG67" i="16"/>
  <c r="EM67" i="16" s="1"/>
  <c r="BY67" i="16"/>
  <c r="CE67" i="16" s="1"/>
  <c r="BO67" i="16"/>
  <c r="BU67" i="16" s="1"/>
  <c r="DW67" i="16"/>
  <c r="EC67" i="16" s="1"/>
  <c r="CI67" i="16"/>
  <c r="CO67" i="16" s="1"/>
  <c r="AU67" i="16"/>
  <c r="BA67" i="16" s="1"/>
  <c r="AK67" i="16"/>
  <c r="AQ67" i="16" s="1"/>
  <c r="CS67" i="16"/>
  <c r="BE67" i="16"/>
  <c r="BK67" i="16" s="1"/>
  <c r="G67" i="16"/>
  <c r="DC67" i="16"/>
  <c r="DI67" i="16" s="1"/>
  <c r="AA67" i="16"/>
  <c r="AG67" i="16" s="1"/>
  <c r="DM67" i="16"/>
  <c r="DS67" i="16" s="1"/>
  <c r="Q67" i="16"/>
  <c r="W67" i="16" s="1"/>
  <c r="AM35" i="16"/>
  <c r="AO36" i="16"/>
  <c r="CW36" i="16"/>
  <c r="CU35" i="16"/>
  <c r="FC35" i="16"/>
  <c r="FE36" i="16"/>
  <c r="CC66" i="16"/>
  <c r="CA65" i="16"/>
  <c r="CM66" i="16"/>
  <c r="CK65" i="16"/>
  <c r="DG26" i="16"/>
  <c r="DE25" i="16"/>
  <c r="CM26" i="16"/>
  <c r="CK25" i="16"/>
  <c r="AO21" i="16"/>
  <c r="BI21" i="16"/>
  <c r="FO21" i="16"/>
  <c r="BI6" i="16"/>
  <c r="BG5" i="16"/>
  <c r="CW6" i="16"/>
  <c r="CU5" i="16"/>
  <c r="CM6" i="16"/>
  <c r="CK5" i="16"/>
  <c r="AE117" i="16"/>
  <c r="CM117" i="16"/>
  <c r="FE117" i="16"/>
  <c r="CK75" i="16"/>
  <c r="CM76" i="16"/>
  <c r="GG75" i="16"/>
  <c r="GI76" i="16"/>
  <c r="DG122" i="16"/>
  <c r="FO122" i="16"/>
  <c r="AW50" i="16"/>
  <c r="BS86" i="16"/>
  <c r="BQ85" i="16"/>
  <c r="CW86" i="16"/>
  <c r="CU85" i="16"/>
  <c r="FE86" i="16"/>
  <c r="FC85" i="16"/>
  <c r="BS101" i="16"/>
  <c r="DQ101" i="16"/>
  <c r="EU81" i="16"/>
  <c r="GI81" i="16"/>
  <c r="EA47" i="16"/>
  <c r="AE47" i="16"/>
  <c r="DQ47" i="16"/>
  <c r="CA90" i="16"/>
  <c r="FM50" i="16"/>
  <c r="DG61" i="16"/>
  <c r="GS61" i="16"/>
  <c r="AE56" i="16"/>
  <c r="AC55" i="16"/>
  <c r="CC56" i="16"/>
  <c r="CA55" i="16"/>
  <c r="GS56" i="16"/>
  <c r="GQ55" i="16"/>
  <c r="EA71" i="16"/>
  <c r="DQ71" i="16"/>
  <c r="AO41" i="16"/>
  <c r="DG41" i="16"/>
  <c r="GS41" i="16"/>
  <c r="CW111" i="16"/>
  <c r="AY111" i="16"/>
  <c r="GI111" i="16"/>
  <c r="CC16" i="16"/>
  <c r="CA15" i="16"/>
  <c r="GS16" i="16"/>
  <c r="GQ15" i="16"/>
  <c r="DY46" i="16"/>
  <c r="EA46" i="16"/>
  <c r="DY45" i="16"/>
  <c r="AE46" i="16"/>
  <c r="AC46" i="16"/>
  <c r="AC45" i="16"/>
  <c r="AY46" i="16"/>
  <c r="AW46" i="16"/>
  <c r="AW45" i="16"/>
  <c r="FW46" i="16"/>
  <c r="FY46" i="16"/>
  <c r="FW45" i="16"/>
  <c r="AE96" i="16"/>
  <c r="AC95" i="16"/>
  <c r="BS96" i="16"/>
  <c r="BQ95" i="16"/>
  <c r="GS96" i="16"/>
  <c r="GQ95" i="16"/>
  <c r="FE31" i="16"/>
  <c r="GI31" i="16"/>
  <c r="AE106" i="16"/>
  <c r="AC105" i="16"/>
  <c r="DG106" i="16"/>
  <c r="DE105" i="16"/>
  <c r="CM106" i="16"/>
  <c r="CK105" i="16"/>
  <c r="FO106" i="16"/>
  <c r="FM105" i="16"/>
  <c r="AE11" i="16"/>
  <c r="K26" i="16"/>
  <c r="I15" i="16"/>
  <c r="GO112" i="16"/>
  <c r="GU112" i="16" s="1"/>
  <c r="GE112" i="16"/>
  <c r="GK112" i="16" s="1"/>
  <c r="FU112" i="16"/>
  <c r="GA112" i="16" s="1"/>
  <c r="DW112" i="16"/>
  <c r="EC112" i="16" s="1"/>
  <c r="DM112" i="16"/>
  <c r="DS112" i="16" s="1"/>
  <c r="FK112" i="16"/>
  <c r="FQ112" i="16" s="1"/>
  <c r="EQ112" i="16"/>
  <c r="EW112" i="16" s="1"/>
  <c r="BE112" i="16"/>
  <c r="BK112" i="16" s="1"/>
  <c r="BY112" i="16"/>
  <c r="BO112" i="16"/>
  <c r="BU112" i="16" s="1"/>
  <c r="AU112" i="16"/>
  <c r="BA112" i="16" s="1"/>
  <c r="AK112" i="16"/>
  <c r="AQ112" i="16" s="1"/>
  <c r="Q112" i="16"/>
  <c r="W112" i="16" s="1"/>
  <c r="AA112" i="16"/>
  <c r="AG112" i="16" s="1"/>
  <c r="CS112" i="16"/>
  <c r="CY112" i="16" s="1"/>
  <c r="CI112" i="16"/>
  <c r="CO112" i="16" s="1"/>
  <c r="FA112" i="16"/>
  <c r="FG112" i="16" s="1"/>
  <c r="G112" i="16"/>
  <c r="EG112" i="16"/>
  <c r="EM112" i="16" s="1"/>
  <c r="DC112" i="16"/>
  <c r="DI112" i="16" s="1"/>
  <c r="GO32" i="16"/>
  <c r="GU32" i="16" s="1"/>
  <c r="GE32" i="16"/>
  <c r="GK32" i="16" s="1"/>
  <c r="FU32" i="16"/>
  <c r="GA32" i="16" s="1"/>
  <c r="DW32" i="16"/>
  <c r="EC32" i="16" s="1"/>
  <c r="DM32" i="16"/>
  <c r="DS32" i="16" s="1"/>
  <c r="EQ32" i="16"/>
  <c r="EW32" i="16" s="1"/>
  <c r="BE32" i="16"/>
  <c r="BK32" i="16" s="1"/>
  <c r="BY32" i="16"/>
  <c r="CE32" i="16" s="1"/>
  <c r="BO32" i="16"/>
  <c r="FK32" i="16"/>
  <c r="FQ32" i="16" s="1"/>
  <c r="AU32" i="16"/>
  <c r="BA32" i="16" s="1"/>
  <c r="AK32" i="16"/>
  <c r="AQ32" i="16" s="1"/>
  <c r="Q32" i="16"/>
  <c r="W32" i="16" s="1"/>
  <c r="AA32" i="16"/>
  <c r="AG32" i="16" s="1"/>
  <c r="G32" i="16"/>
  <c r="EG32" i="16"/>
  <c r="EM32" i="16" s="1"/>
  <c r="DC32" i="16"/>
  <c r="DI32" i="16" s="1"/>
  <c r="FA32" i="16"/>
  <c r="FG32" i="16" s="1"/>
  <c r="CS32" i="16"/>
  <c r="CY32" i="16" s="1"/>
  <c r="CI32" i="16"/>
  <c r="CO32" i="16" s="1"/>
  <c r="GO57" i="16"/>
  <c r="GU57" i="16" s="1"/>
  <c r="GE57" i="16"/>
  <c r="GK57" i="16" s="1"/>
  <c r="FU57" i="16"/>
  <c r="GA57" i="16" s="1"/>
  <c r="FK57" i="16"/>
  <c r="FQ57" i="16" s="1"/>
  <c r="FA57" i="16"/>
  <c r="EG57" i="16"/>
  <c r="EM57" i="16" s="1"/>
  <c r="DW57" i="16"/>
  <c r="EC57" i="16" s="1"/>
  <c r="DM57" i="16"/>
  <c r="DS57" i="16" s="1"/>
  <c r="DC57" i="16"/>
  <c r="CS57" i="16"/>
  <c r="CY57" i="16" s="1"/>
  <c r="AA57" i="16"/>
  <c r="EQ57" i="16"/>
  <c r="EW57" i="16" s="1"/>
  <c r="BE57" i="16"/>
  <c r="BK57" i="16" s="1"/>
  <c r="CI57" i="16"/>
  <c r="CO57" i="16" s="1"/>
  <c r="G57" i="16"/>
  <c r="AU57" i="16"/>
  <c r="BA57" i="16" s="1"/>
  <c r="AK57" i="16"/>
  <c r="Q57" i="16"/>
  <c r="BY57" i="16"/>
  <c r="CE57" i="16" s="1"/>
  <c r="BO57" i="16"/>
  <c r="BU57" i="16" s="1"/>
  <c r="AW35" i="16"/>
  <c r="AY36" i="16"/>
  <c r="EK36" i="16"/>
  <c r="EI35" i="16"/>
  <c r="FW35" i="16"/>
  <c r="FY36" i="16"/>
  <c r="EU66" i="16"/>
  <c r="ES65" i="16"/>
  <c r="EA66" i="16"/>
  <c r="DY65" i="16"/>
  <c r="BI51" i="16"/>
  <c r="EK51" i="16"/>
  <c r="BI91" i="16"/>
  <c r="DQ26" i="16"/>
  <c r="DO25" i="16"/>
  <c r="GI26" i="16"/>
  <c r="GG25" i="16"/>
  <c r="AY21" i="16"/>
  <c r="AE21" i="16"/>
  <c r="EA21" i="16"/>
  <c r="EA6" i="16"/>
  <c r="DY5" i="16"/>
  <c r="CC6" i="16"/>
  <c r="CA5" i="16"/>
  <c r="EU6" i="16"/>
  <c r="ES5" i="16"/>
  <c r="FY6" i="16"/>
  <c r="FW5" i="16"/>
  <c r="CC117" i="16"/>
  <c r="EA117" i="16"/>
  <c r="AM75" i="16"/>
  <c r="AO76" i="16"/>
  <c r="CA75" i="16"/>
  <c r="CC76" i="16"/>
  <c r="ES75" i="16"/>
  <c r="EU76" i="16"/>
  <c r="EU122" i="16"/>
  <c r="DQ122" i="16"/>
  <c r="FY122" i="16"/>
  <c r="ES10" i="16"/>
  <c r="EA86" i="16"/>
  <c r="DY85" i="16"/>
  <c r="CC86" i="16"/>
  <c r="CA85" i="16"/>
  <c r="EU86" i="16"/>
  <c r="ES85" i="16"/>
  <c r="AE101" i="16"/>
  <c r="BI101" i="16"/>
  <c r="FO101" i="16"/>
  <c r="AO81" i="16"/>
  <c r="AE81" i="16"/>
  <c r="EA81" i="16"/>
  <c r="FY47" i="16"/>
  <c r="AO47" i="16"/>
  <c r="GS47" i="16"/>
  <c r="DY116" i="16"/>
  <c r="GG110" i="16"/>
  <c r="CM61" i="16"/>
  <c r="DQ61" i="16"/>
  <c r="CW56" i="16"/>
  <c r="CU55" i="16"/>
  <c r="EI55" i="16"/>
  <c r="EK56" i="16"/>
  <c r="BI56" i="16"/>
  <c r="BG55" i="16"/>
  <c r="FE71" i="16"/>
  <c r="FY71" i="16"/>
  <c r="EU41" i="16"/>
  <c r="DQ41" i="16"/>
  <c r="GS111" i="16"/>
  <c r="DQ111" i="16"/>
  <c r="AE16" i="16"/>
  <c r="AC15" i="16"/>
  <c r="EA16" i="16"/>
  <c r="DY15" i="16"/>
  <c r="AM10" i="16"/>
  <c r="FM100" i="16"/>
  <c r="I45" i="16"/>
  <c r="K46" i="16"/>
  <c r="CK46" i="16"/>
  <c r="CM46" i="16"/>
  <c r="CK45" i="16"/>
  <c r="CW96" i="16"/>
  <c r="CU95" i="16"/>
  <c r="FO96" i="16"/>
  <c r="FM95" i="16"/>
  <c r="EA96" i="16"/>
  <c r="DY95" i="16"/>
  <c r="DG31" i="16"/>
  <c r="AO31" i="16"/>
  <c r="BS31" i="16"/>
  <c r="EU31" i="16"/>
  <c r="FM20" i="16"/>
  <c r="AC20" i="16"/>
  <c r="BS106" i="16"/>
  <c r="BQ105" i="16"/>
  <c r="DQ106" i="16"/>
  <c r="DO105" i="16"/>
  <c r="EA106" i="16"/>
  <c r="DY105" i="16"/>
  <c r="FY106" i="16"/>
  <c r="FW105" i="16"/>
  <c r="I90" i="16"/>
  <c r="GO82" i="16"/>
  <c r="GU82" i="16" s="1"/>
  <c r="GE82" i="16"/>
  <c r="GK82" i="16" s="1"/>
  <c r="FU82" i="16"/>
  <c r="GA82" i="16" s="1"/>
  <c r="FA82" i="16"/>
  <c r="EG82" i="16"/>
  <c r="EM82" i="16" s="1"/>
  <c r="DW82" i="16"/>
  <c r="EC82" i="16" s="1"/>
  <c r="CI82" i="16"/>
  <c r="CO82" i="16" s="1"/>
  <c r="AU82" i="16"/>
  <c r="BA82" i="16" s="1"/>
  <c r="AK82" i="16"/>
  <c r="AQ82" i="16" s="1"/>
  <c r="DM82" i="16"/>
  <c r="DS82" i="16" s="1"/>
  <c r="DC82" i="16"/>
  <c r="DI82" i="16" s="1"/>
  <c r="CS82" i="16"/>
  <c r="CY82" i="16" s="1"/>
  <c r="AA82" i="16"/>
  <c r="AG82" i="16" s="1"/>
  <c r="EQ82" i="16"/>
  <c r="BY82" i="16"/>
  <c r="CE82" i="16" s="1"/>
  <c r="BO82" i="16"/>
  <c r="BU82" i="16" s="1"/>
  <c r="BE82" i="16"/>
  <c r="BK82" i="16" s="1"/>
  <c r="FK82" i="16"/>
  <c r="FQ82" i="16" s="1"/>
  <c r="Q82" i="16"/>
  <c r="W82" i="16" s="1"/>
  <c r="G82" i="16"/>
  <c r="GO12" i="16"/>
  <c r="GU12" i="16" s="1"/>
  <c r="GE12" i="16"/>
  <c r="GK12" i="16" s="1"/>
  <c r="FU12" i="16"/>
  <c r="GA12" i="16" s="1"/>
  <c r="FK12" i="16"/>
  <c r="FQ12" i="16" s="1"/>
  <c r="DW12" i="16"/>
  <c r="EC12" i="16" s="1"/>
  <c r="DM12" i="16"/>
  <c r="DS12" i="16" s="1"/>
  <c r="FA12" i="16"/>
  <c r="FG12" i="16" s="1"/>
  <c r="EQ12" i="16"/>
  <c r="EW12" i="16" s="1"/>
  <c r="BE12" i="16"/>
  <c r="BK12" i="16" s="1"/>
  <c r="EG12" i="16"/>
  <c r="EM12" i="16" s="1"/>
  <c r="BY12" i="16"/>
  <c r="CE12" i="16" s="1"/>
  <c r="BO12" i="16"/>
  <c r="BU12" i="16" s="1"/>
  <c r="DC12" i="16"/>
  <c r="DI12" i="16" s="1"/>
  <c r="Q12" i="16"/>
  <c r="W12" i="16" s="1"/>
  <c r="CS12" i="16"/>
  <c r="CY12" i="16" s="1"/>
  <c r="CI12" i="16"/>
  <c r="CO12" i="16" s="1"/>
  <c r="G12" i="16"/>
  <c r="M12" i="16" s="1"/>
  <c r="AU12" i="16"/>
  <c r="BA12" i="16" s="1"/>
  <c r="AK12" i="16"/>
  <c r="AQ12" i="16" s="1"/>
  <c r="AA12" i="16"/>
  <c r="AG12" i="16" s="1"/>
  <c r="GE62" i="16"/>
  <c r="GK62" i="16" s="1"/>
  <c r="FU62" i="16"/>
  <c r="GA62" i="16" s="1"/>
  <c r="GO62" i="16"/>
  <c r="GU62" i="16" s="1"/>
  <c r="FK62" i="16"/>
  <c r="FA62" i="16"/>
  <c r="FG62" i="16" s="1"/>
  <c r="EG62" i="16"/>
  <c r="EM62" i="16" s="1"/>
  <c r="EQ62" i="16"/>
  <c r="EW62" i="16" s="1"/>
  <c r="CI62" i="16"/>
  <c r="CO62" i="16" s="1"/>
  <c r="AU62" i="16"/>
  <c r="BA62" i="16" s="1"/>
  <c r="AK62" i="16"/>
  <c r="AQ62" i="16" s="1"/>
  <c r="DC62" i="16"/>
  <c r="DI62" i="16" s="1"/>
  <c r="CS62" i="16"/>
  <c r="CY62" i="16" s="1"/>
  <c r="AA62" i="16"/>
  <c r="AG62" i="16" s="1"/>
  <c r="Q62" i="16"/>
  <c r="W62" i="16" s="1"/>
  <c r="DW62" i="16"/>
  <c r="EC62" i="16" s="1"/>
  <c r="BE62" i="16"/>
  <c r="DM62" i="16"/>
  <c r="DS62" i="16" s="1"/>
  <c r="BY62" i="16"/>
  <c r="CE62" i="16" s="1"/>
  <c r="BO62" i="16"/>
  <c r="BU62" i="16" s="1"/>
  <c r="G62" i="16"/>
  <c r="DY70" i="16"/>
  <c r="DO100" i="16"/>
  <c r="DE35" i="16"/>
  <c r="DG36" i="16"/>
  <c r="BI36" i="16"/>
  <c r="BG35" i="16"/>
  <c r="DY35" i="16"/>
  <c r="EA36" i="16"/>
  <c r="GQ35" i="16"/>
  <c r="GS36" i="16"/>
  <c r="BI66" i="16"/>
  <c r="BG65" i="16"/>
  <c r="AE66" i="16"/>
  <c r="AC65" i="16"/>
  <c r="AO66" i="16"/>
  <c r="AM65" i="16"/>
  <c r="EK66" i="16"/>
  <c r="EI65" i="16"/>
  <c r="GI66" i="16"/>
  <c r="GG66" i="16"/>
  <c r="GG65" i="16"/>
  <c r="AE51" i="16"/>
  <c r="CW51" i="16"/>
  <c r="GI51" i="16"/>
  <c r="CW91" i="16"/>
  <c r="EU26" i="16"/>
  <c r="ES25" i="16"/>
  <c r="AE26" i="16"/>
  <c r="AC25" i="16"/>
  <c r="AO26" i="16"/>
  <c r="AM25" i="16"/>
  <c r="EK26" i="16"/>
  <c r="EI25" i="16"/>
  <c r="FY26" i="16"/>
  <c r="FW25" i="16"/>
  <c r="CC21" i="16"/>
  <c r="CW21" i="16"/>
  <c r="EK21" i="16"/>
  <c r="GI21" i="16"/>
  <c r="AM40" i="16"/>
  <c r="DQ6" i="16"/>
  <c r="DO5" i="16"/>
  <c r="AO6" i="16"/>
  <c r="AM5" i="16"/>
  <c r="EK6" i="16"/>
  <c r="EI5" i="16"/>
  <c r="GI6" i="16"/>
  <c r="GG5" i="16"/>
  <c r="AY117" i="16"/>
  <c r="EU117" i="16"/>
  <c r="CW117" i="16"/>
  <c r="EK117" i="16"/>
  <c r="FY117" i="16"/>
  <c r="AW75" i="16"/>
  <c r="AY76" i="16"/>
  <c r="EK76" i="16"/>
  <c r="EI75" i="16"/>
  <c r="FC75" i="16"/>
  <c r="FE76" i="16"/>
  <c r="FW75" i="16"/>
  <c r="FY76" i="16"/>
  <c r="BI122" i="16"/>
  <c r="CC122" i="16"/>
  <c r="AO122" i="16"/>
  <c r="EK122" i="16"/>
  <c r="GI122" i="16"/>
  <c r="CA50" i="16"/>
  <c r="ES80" i="16"/>
  <c r="FC116" i="16"/>
  <c r="BI86" i="16"/>
  <c r="BG85" i="16"/>
  <c r="AE86" i="16"/>
  <c r="AC85" i="16"/>
  <c r="AO86" i="16"/>
  <c r="AM85" i="16"/>
  <c r="FO86" i="16"/>
  <c r="FM85" i="16"/>
  <c r="GS86" i="16"/>
  <c r="GQ85" i="16"/>
  <c r="AO101" i="16"/>
  <c r="EU101" i="16"/>
  <c r="CW101" i="16"/>
  <c r="EK101" i="16"/>
  <c r="FY101" i="16"/>
  <c r="AY81" i="16"/>
  <c r="CM81" i="16"/>
  <c r="CW81" i="16"/>
  <c r="EK81" i="16"/>
  <c r="FY81" i="16"/>
  <c r="BI47" i="16"/>
  <c r="AY47" i="16"/>
  <c r="BS47" i="16"/>
  <c r="FO47" i="16"/>
  <c r="GG90" i="16"/>
  <c r="FC10" i="16"/>
  <c r="AM100" i="16"/>
  <c r="DY50" i="16"/>
  <c r="AC50" i="16"/>
  <c r="ES30" i="16"/>
  <c r="BQ30" i="16"/>
  <c r="CK116" i="16"/>
  <c r="AO61" i="16"/>
  <c r="AE61" i="16"/>
  <c r="EA61" i="16"/>
  <c r="FY61" i="16"/>
  <c r="DG56" i="16"/>
  <c r="DE55" i="16"/>
  <c r="FY56" i="16"/>
  <c r="FW55" i="16"/>
  <c r="FE56" i="16"/>
  <c r="FC55" i="16"/>
  <c r="EA56" i="16"/>
  <c r="DY55" i="16"/>
  <c r="AO71" i="16"/>
  <c r="BS71" i="16"/>
  <c r="EU71" i="16"/>
  <c r="CC41" i="16"/>
  <c r="AE41" i="16"/>
  <c r="EA41" i="16"/>
  <c r="FY41" i="16"/>
  <c r="FY111" i="16"/>
  <c r="AE111" i="16"/>
  <c r="FE111" i="16"/>
  <c r="EU111" i="16"/>
  <c r="DG16" i="16"/>
  <c r="DE15" i="16"/>
  <c r="FE16" i="16"/>
  <c r="FC15" i="16"/>
  <c r="AY16" i="16"/>
  <c r="AW15" i="16"/>
  <c r="EU16" i="16"/>
  <c r="ES15" i="16"/>
  <c r="FY16" i="16"/>
  <c r="FW15" i="16"/>
  <c r="AM20" i="16"/>
  <c r="FW90" i="16"/>
  <c r="GG121" i="16"/>
  <c r="DO46" i="16"/>
  <c r="DQ46" i="16"/>
  <c r="DO45" i="16"/>
  <c r="BS46" i="16"/>
  <c r="BQ46" i="16"/>
  <c r="BQ45" i="16"/>
  <c r="DG46" i="16"/>
  <c r="DE46" i="16"/>
  <c r="DE45" i="16"/>
  <c r="EU46" i="16"/>
  <c r="ES46" i="16"/>
  <c r="ES45" i="16"/>
  <c r="FM46" i="16"/>
  <c r="FO46" i="16"/>
  <c r="FM45" i="16"/>
  <c r="FE96" i="16"/>
  <c r="FC95" i="16"/>
  <c r="AO96" i="16"/>
  <c r="AM95" i="16"/>
  <c r="BI96" i="16"/>
  <c r="BG95" i="16"/>
  <c r="FY96" i="16"/>
  <c r="FW95" i="16"/>
  <c r="AY31" i="16"/>
  <c r="CC31" i="16"/>
  <c r="FO31" i="16"/>
  <c r="CK90" i="16"/>
  <c r="DE121" i="16"/>
  <c r="CA116" i="16"/>
  <c r="DE40" i="16"/>
  <c r="EU106" i="16"/>
  <c r="ES105" i="16"/>
  <c r="CC106" i="16"/>
  <c r="CA105" i="16"/>
  <c r="AO106" i="16"/>
  <c r="AM105" i="16"/>
  <c r="EK106" i="16"/>
  <c r="EI105" i="16"/>
  <c r="GI106" i="16"/>
  <c r="GG105" i="16"/>
  <c r="BI11" i="16"/>
  <c r="CM11" i="16"/>
  <c r="EK11" i="16"/>
  <c r="GE38" i="16"/>
  <c r="GK38" i="16" s="1"/>
  <c r="GO38" i="16"/>
  <c r="GU38" i="16" s="1"/>
  <c r="FU38" i="16"/>
  <c r="GA38" i="16" s="1"/>
  <c r="FA38" i="16"/>
  <c r="FG38" i="16" s="1"/>
  <c r="FK38" i="16"/>
  <c r="FQ38" i="16" s="1"/>
  <c r="EG38" i="16"/>
  <c r="EM38" i="16" s="1"/>
  <c r="EQ38" i="16"/>
  <c r="EW38" i="16" s="1"/>
  <c r="CI38" i="16"/>
  <c r="CO38" i="16" s="1"/>
  <c r="AU38" i="16"/>
  <c r="BA38" i="16" s="1"/>
  <c r="AK38" i="16"/>
  <c r="AQ38" i="16" s="1"/>
  <c r="DC38" i="16"/>
  <c r="DI38" i="16" s="1"/>
  <c r="CS38" i="16"/>
  <c r="CY38" i="16" s="1"/>
  <c r="AA38" i="16"/>
  <c r="AG38" i="16" s="1"/>
  <c r="DM38" i="16"/>
  <c r="DS38" i="16" s="1"/>
  <c r="Q38" i="16"/>
  <c r="W38" i="16" s="1"/>
  <c r="BE38" i="16"/>
  <c r="BK38" i="16" s="1"/>
  <c r="BY38" i="16"/>
  <c r="CE38" i="16" s="1"/>
  <c r="BO38" i="16"/>
  <c r="BU38" i="16" s="1"/>
  <c r="DW38" i="16"/>
  <c r="EC38" i="16" s="1"/>
  <c r="G38" i="16"/>
  <c r="GO42" i="16"/>
  <c r="GU42" i="16" s="1"/>
  <c r="GE42" i="16"/>
  <c r="GK42" i="16" s="1"/>
  <c r="FU42" i="16"/>
  <c r="GA42" i="16" s="1"/>
  <c r="FK42" i="16"/>
  <c r="FQ42" i="16" s="1"/>
  <c r="FA42" i="16"/>
  <c r="FG42" i="16" s="1"/>
  <c r="EG42" i="16"/>
  <c r="EM42" i="16" s="1"/>
  <c r="DW42" i="16"/>
  <c r="EC42" i="16" s="1"/>
  <c r="CI42" i="16"/>
  <c r="CO42" i="16" s="1"/>
  <c r="AU42" i="16"/>
  <c r="BA42" i="16" s="1"/>
  <c r="AK42" i="16"/>
  <c r="AQ42" i="16" s="1"/>
  <c r="DM42" i="16"/>
  <c r="DS42" i="16" s="1"/>
  <c r="DC42" i="16"/>
  <c r="DI42" i="16" s="1"/>
  <c r="CS42" i="16"/>
  <c r="CY42" i="16" s="1"/>
  <c r="AA42" i="16"/>
  <c r="AG42" i="16" s="1"/>
  <c r="BY42" i="16"/>
  <c r="CE42" i="16" s="1"/>
  <c r="BO42" i="16"/>
  <c r="BU42" i="16" s="1"/>
  <c r="EQ42" i="16"/>
  <c r="EW42" i="16" s="1"/>
  <c r="Q42" i="16"/>
  <c r="W42" i="16" s="1"/>
  <c r="BE42" i="16"/>
  <c r="BK42" i="16" s="1"/>
  <c r="G42" i="16"/>
  <c r="GE102" i="16"/>
  <c r="GK102" i="16" s="1"/>
  <c r="GO102" i="16"/>
  <c r="GU102" i="16" s="1"/>
  <c r="FU102" i="16"/>
  <c r="GA102" i="16" s="1"/>
  <c r="FA102" i="16"/>
  <c r="FG102" i="16" s="1"/>
  <c r="FK102" i="16"/>
  <c r="FQ102" i="16" s="1"/>
  <c r="EG102" i="16"/>
  <c r="EM102" i="16" s="1"/>
  <c r="EQ102" i="16"/>
  <c r="EW102" i="16" s="1"/>
  <c r="CI102" i="16"/>
  <c r="CO102" i="16" s="1"/>
  <c r="AU102" i="16"/>
  <c r="BA102" i="16" s="1"/>
  <c r="AK102" i="16"/>
  <c r="AQ102" i="16" s="1"/>
  <c r="DC102" i="16"/>
  <c r="DI102" i="16" s="1"/>
  <c r="CS102" i="16"/>
  <c r="CY102" i="16" s="1"/>
  <c r="DM102" i="16"/>
  <c r="DS102" i="16" s="1"/>
  <c r="AA102" i="16"/>
  <c r="BO102" i="16"/>
  <c r="BU102" i="16" s="1"/>
  <c r="Q102" i="16"/>
  <c r="W102" i="16" s="1"/>
  <c r="DW102" i="16"/>
  <c r="EC102" i="16" s="1"/>
  <c r="BE102" i="16"/>
  <c r="BY102" i="16"/>
  <c r="CE102" i="16" s="1"/>
  <c r="G102" i="16"/>
  <c r="CA35" i="16"/>
  <c r="CC36" i="16"/>
  <c r="FM35" i="16"/>
  <c r="FO36" i="16"/>
  <c r="DG66" i="16"/>
  <c r="DE65" i="16"/>
  <c r="FE66" i="16"/>
  <c r="FC65" i="16"/>
  <c r="BS26" i="16"/>
  <c r="BQ25" i="16"/>
  <c r="FO26" i="16"/>
  <c r="FM25" i="16"/>
  <c r="DQ21" i="16"/>
  <c r="FE6" i="16"/>
  <c r="FC5" i="16"/>
  <c r="BS117" i="16"/>
  <c r="DQ117" i="16"/>
  <c r="AC75" i="16"/>
  <c r="AE76" i="16"/>
  <c r="BQ75" i="16"/>
  <c r="BS76" i="16"/>
  <c r="DY75" i="16"/>
  <c r="EA76" i="16"/>
  <c r="AE122" i="16"/>
  <c r="CM122" i="16"/>
  <c r="CM86" i="16"/>
  <c r="CK85" i="16"/>
  <c r="AY101" i="16"/>
  <c r="CM101" i="16"/>
  <c r="FE101" i="16"/>
  <c r="CC81" i="16"/>
  <c r="DQ81" i="16"/>
  <c r="FE47" i="16"/>
  <c r="FC100" i="16"/>
  <c r="CC61" i="16"/>
  <c r="FE61" i="16"/>
  <c r="AY56" i="16"/>
  <c r="AW55" i="16"/>
  <c r="GI56" i="16"/>
  <c r="GG55" i="16"/>
  <c r="CW71" i="16"/>
  <c r="CM71" i="16"/>
  <c r="GI71" i="16"/>
  <c r="BI41" i="16"/>
  <c r="FE41" i="16"/>
  <c r="CC111" i="16"/>
  <c r="DQ16" i="16"/>
  <c r="DO15" i="16"/>
  <c r="BQ100" i="16"/>
  <c r="DE60" i="16"/>
  <c r="EI46" i="16"/>
  <c r="EK46" i="16"/>
  <c r="EI45" i="16"/>
  <c r="EI95" i="16"/>
  <c r="EK96" i="16"/>
  <c r="DQ96" i="16"/>
  <c r="DO95" i="16"/>
  <c r="EA31" i="16"/>
  <c r="AE31" i="16"/>
  <c r="FY31" i="16"/>
  <c r="GO17" i="16"/>
  <c r="GU17" i="16" s="1"/>
  <c r="GE17" i="16"/>
  <c r="GK17" i="16" s="1"/>
  <c r="FU17" i="16"/>
  <c r="GA17" i="16" s="1"/>
  <c r="FK17" i="16"/>
  <c r="FQ17" i="16" s="1"/>
  <c r="FA17" i="16"/>
  <c r="FG17" i="16" s="1"/>
  <c r="EG17" i="16"/>
  <c r="EM17" i="16" s="1"/>
  <c r="DW17" i="16"/>
  <c r="EC17" i="16" s="1"/>
  <c r="DM17" i="16"/>
  <c r="DC17" i="16"/>
  <c r="DI17" i="16" s="1"/>
  <c r="CS17" i="16"/>
  <c r="CY17" i="16" s="1"/>
  <c r="AA17" i="16"/>
  <c r="AG17" i="16" s="1"/>
  <c r="EQ17" i="16"/>
  <c r="EW17" i="16" s="1"/>
  <c r="BE17" i="16"/>
  <c r="BK17" i="16" s="1"/>
  <c r="CI17" i="16"/>
  <c r="CO17" i="16" s="1"/>
  <c r="G17" i="16"/>
  <c r="AU17" i="16"/>
  <c r="AK17" i="16"/>
  <c r="AQ17" i="16" s="1"/>
  <c r="Q17" i="16"/>
  <c r="W17" i="16" s="1"/>
  <c r="BY17" i="16"/>
  <c r="CE17" i="16" s="1"/>
  <c r="BO17" i="16"/>
  <c r="BU17" i="16" s="1"/>
  <c r="GE22" i="16"/>
  <c r="GK22" i="16" s="1"/>
  <c r="GO22" i="16"/>
  <c r="GU22" i="16" s="1"/>
  <c r="FU22" i="16"/>
  <c r="GA22" i="16" s="1"/>
  <c r="FA22" i="16"/>
  <c r="FG22" i="16" s="1"/>
  <c r="EG22" i="16"/>
  <c r="EM22" i="16" s="1"/>
  <c r="FK22" i="16"/>
  <c r="FQ22" i="16" s="1"/>
  <c r="EQ22" i="16"/>
  <c r="EW22" i="16" s="1"/>
  <c r="CI22" i="16"/>
  <c r="AU22" i="16"/>
  <c r="BA22" i="16" s="1"/>
  <c r="AK22" i="16"/>
  <c r="AQ22" i="16" s="1"/>
  <c r="DC22" i="16"/>
  <c r="DI22" i="16" s="1"/>
  <c r="CS22" i="16"/>
  <c r="CY22" i="16" s="1"/>
  <c r="AA22" i="16"/>
  <c r="AG22" i="16" s="1"/>
  <c r="DM22" i="16"/>
  <c r="DS22" i="16" s="1"/>
  <c r="DW22" i="16"/>
  <c r="EC22" i="16" s="1"/>
  <c r="BE22" i="16"/>
  <c r="BY22" i="16"/>
  <c r="CE22" i="16" s="1"/>
  <c r="BO22" i="16"/>
  <c r="BU22" i="16" s="1"/>
  <c r="Q22" i="16"/>
  <c r="W22" i="16" s="1"/>
  <c r="G22" i="16"/>
  <c r="GO52" i="16"/>
  <c r="GU52" i="16" s="1"/>
  <c r="GE52" i="16"/>
  <c r="GK52" i="16" s="1"/>
  <c r="FU52" i="16"/>
  <c r="GA52" i="16" s="1"/>
  <c r="FK52" i="16"/>
  <c r="FQ52" i="16" s="1"/>
  <c r="DW52" i="16"/>
  <c r="EC52" i="16" s="1"/>
  <c r="DM52" i="16"/>
  <c r="DS52" i="16" s="1"/>
  <c r="FA52" i="16"/>
  <c r="FG52" i="16" s="1"/>
  <c r="EQ52" i="16"/>
  <c r="EW52" i="16" s="1"/>
  <c r="BE52" i="16"/>
  <c r="BK52" i="16" s="1"/>
  <c r="EG52" i="16"/>
  <c r="EM52" i="16" s="1"/>
  <c r="BY52" i="16"/>
  <c r="CE52" i="16" s="1"/>
  <c r="BO52" i="16"/>
  <c r="BU52" i="16" s="1"/>
  <c r="DC52" i="16"/>
  <c r="DI52" i="16" s="1"/>
  <c r="Q52" i="16"/>
  <c r="W52" i="16" s="1"/>
  <c r="CS52" i="16"/>
  <c r="CY52" i="16" s="1"/>
  <c r="CI52" i="16"/>
  <c r="G52" i="16"/>
  <c r="AU52" i="16"/>
  <c r="BA52" i="16" s="1"/>
  <c r="AK52" i="16"/>
  <c r="AQ52" i="16" s="1"/>
  <c r="AA52" i="16"/>
  <c r="GO77" i="16"/>
  <c r="GU77" i="16" s="1"/>
  <c r="FU77" i="16"/>
  <c r="GA77" i="16" s="1"/>
  <c r="FK77" i="16"/>
  <c r="FQ77" i="16" s="1"/>
  <c r="FA77" i="16"/>
  <c r="FG77" i="16" s="1"/>
  <c r="GE77" i="16"/>
  <c r="GK77" i="16" s="1"/>
  <c r="EG77" i="16"/>
  <c r="EM77" i="16" s="1"/>
  <c r="DW77" i="16"/>
  <c r="EC77" i="16" s="1"/>
  <c r="DM77" i="16"/>
  <c r="DS77" i="16" s="1"/>
  <c r="DC77" i="16"/>
  <c r="DI77" i="16" s="1"/>
  <c r="CS77" i="16"/>
  <c r="CY77" i="16" s="1"/>
  <c r="AA77" i="16"/>
  <c r="AG77" i="16" s="1"/>
  <c r="BE77" i="16"/>
  <c r="BK77" i="16" s="1"/>
  <c r="BY77" i="16"/>
  <c r="CE77" i="16" s="1"/>
  <c r="BO77" i="16"/>
  <c r="BU77" i="16" s="1"/>
  <c r="Q77" i="16"/>
  <c r="W77" i="16" s="1"/>
  <c r="CI77" i="16"/>
  <c r="CO77" i="16" s="1"/>
  <c r="G77" i="16"/>
  <c r="EQ77" i="16"/>
  <c r="AU77" i="16"/>
  <c r="BA77" i="16" s="1"/>
  <c r="AK77" i="16"/>
  <c r="GE87" i="16"/>
  <c r="GK87" i="16" s="1"/>
  <c r="GO87" i="16"/>
  <c r="GU87" i="16" s="1"/>
  <c r="FK87" i="16"/>
  <c r="FQ87" i="16" s="1"/>
  <c r="EQ87" i="16"/>
  <c r="EW87" i="16" s="1"/>
  <c r="FU87" i="16"/>
  <c r="GA87" i="16" s="1"/>
  <c r="DM87" i="16"/>
  <c r="DS87" i="16" s="1"/>
  <c r="BY87" i="16"/>
  <c r="CE87" i="16" s="1"/>
  <c r="BO87" i="16"/>
  <c r="BU87" i="16" s="1"/>
  <c r="CI87" i="16"/>
  <c r="CO87" i="16" s="1"/>
  <c r="AU87" i="16"/>
  <c r="BA87" i="16" s="1"/>
  <c r="AK87" i="16"/>
  <c r="AQ87" i="16" s="1"/>
  <c r="DW87" i="16"/>
  <c r="G87" i="16"/>
  <c r="M87" i="16" s="1"/>
  <c r="DC87" i="16"/>
  <c r="DI87" i="16" s="1"/>
  <c r="AA87" i="16"/>
  <c r="AG87" i="16" s="1"/>
  <c r="FA87" i="16"/>
  <c r="FG87" i="16" s="1"/>
  <c r="CS87" i="16"/>
  <c r="CY87" i="16" s="1"/>
  <c r="BE87" i="16"/>
  <c r="BK87" i="16" s="1"/>
  <c r="EG87" i="16"/>
  <c r="EM87" i="16" s="1"/>
  <c r="Q87" i="16"/>
  <c r="W87" i="16" s="1"/>
  <c r="BG20" i="16"/>
  <c r="AW90" i="16"/>
  <c r="FW30" i="16"/>
  <c r="DO35" i="16"/>
  <c r="DQ36" i="16"/>
  <c r="DQ66" i="16"/>
  <c r="DO65" i="16"/>
  <c r="FY66" i="16"/>
  <c r="FW65" i="16"/>
  <c r="CM51" i="16"/>
  <c r="EK91" i="16"/>
  <c r="BI26" i="16"/>
  <c r="BG25" i="16"/>
  <c r="CC26" i="16"/>
  <c r="CA25" i="16"/>
  <c r="EA26" i="16"/>
  <c r="DY25" i="16"/>
  <c r="BS21" i="16"/>
  <c r="FY21" i="16"/>
  <c r="DO116" i="16"/>
  <c r="DG6" i="16"/>
  <c r="DE5" i="16"/>
  <c r="AO117" i="16"/>
  <c r="BI117" i="16"/>
  <c r="FO117" i="16"/>
  <c r="CU75" i="16"/>
  <c r="CW76" i="16"/>
  <c r="FM75" i="16"/>
  <c r="FO76" i="16"/>
  <c r="BS122" i="16"/>
  <c r="EA122" i="16"/>
  <c r="CK121" i="16"/>
  <c r="GQ60" i="16"/>
  <c r="AM116" i="16"/>
  <c r="DG86" i="16"/>
  <c r="DE85" i="16"/>
  <c r="FY86" i="16"/>
  <c r="FW85" i="16"/>
  <c r="CC101" i="16"/>
  <c r="EA101" i="16"/>
  <c r="FO81" i="16"/>
  <c r="DG47" i="16"/>
  <c r="EU47" i="16"/>
  <c r="EI90" i="16"/>
  <c r="DY121" i="16"/>
  <c r="AY61" i="16"/>
  <c r="BI61" i="16"/>
  <c r="FO61" i="16"/>
  <c r="CM56" i="16"/>
  <c r="CK55" i="16"/>
  <c r="DQ56" i="16"/>
  <c r="DO55" i="16"/>
  <c r="DG71" i="16"/>
  <c r="FO71" i="16"/>
  <c r="BS41" i="16"/>
  <c r="AY41" i="16"/>
  <c r="FO41" i="16"/>
  <c r="EA111" i="16"/>
  <c r="CM111" i="16"/>
  <c r="CW16" i="16"/>
  <c r="CU15" i="16"/>
  <c r="AO16" i="16"/>
  <c r="AM15" i="16"/>
  <c r="BI16" i="16"/>
  <c r="BG15" i="16"/>
  <c r="GO107" i="16"/>
  <c r="GU107" i="16" s="1"/>
  <c r="GE107" i="16"/>
  <c r="GK107" i="16" s="1"/>
  <c r="FU107" i="16"/>
  <c r="GA107" i="16" s="1"/>
  <c r="FA107" i="16"/>
  <c r="FG107" i="16" s="1"/>
  <c r="EQ107" i="16"/>
  <c r="EW107" i="16" s="1"/>
  <c r="FK107" i="16"/>
  <c r="FQ107" i="16" s="1"/>
  <c r="EG107" i="16"/>
  <c r="EM107" i="16" s="1"/>
  <c r="BY107" i="16"/>
  <c r="CE107" i="16" s="1"/>
  <c r="BO107" i="16"/>
  <c r="BU107" i="16" s="1"/>
  <c r="DW107" i="16"/>
  <c r="EC107" i="16" s="1"/>
  <c r="CI107" i="16"/>
  <c r="CO107" i="16" s="1"/>
  <c r="AU107" i="16"/>
  <c r="BA107" i="16" s="1"/>
  <c r="AK107" i="16"/>
  <c r="AQ107" i="16" s="1"/>
  <c r="CS107" i="16"/>
  <c r="CY107" i="16" s="1"/>
  <c r="BE107" i="16"/>
  <c r="BK107" i="16" s="1"/>
  <c r="G107" i="16"/>
  <c r="M107" i="16" s="1"/>
  <c r="DC107" i="16"/>
  <c r="DI107" i="16" s="1"/>
  <c r="DM107" i="16"/>
  <c r="DS107" i="16" s="1"/>
  <c r="AA107" i="16"/>
  <c r="AG107" i="16" s="1"/>
  <c r="Q107" i="16"/>
  <c r="DO50" i="16"/>
  <c r="FM80" i="16"/>
  <c r="CW46" i="16"/>
  <c r="CU46" i="16"/>
  <c r="CU45" i="16"/>
  <c r="FE46" i="16"/>
  <c r="FC46" i="16"/>
  <c r="FC45" i="16"/>
  <c r="CC96" i="16"/>
  <c r="CA95" i="16"/>
  <c r="GO123" i="16"/>
  <c r="GU123" i="16" s="1"/>
  <c r="GE123" i="16"/>
  <c r="GK123" i="16" s="1"/>
  <c r="FU123" i="16"/>
  <c r="GA123" i="16" s="1"/>
  <c r="FA123" i="16"/>
  <c r="FG123" i="16" s="1"/>
  <c r="EQ123" i="16"/>
  <c r="EW123" i="16" s="1"/>
  <c r="FK123" i="16"/>
  <c r="FQ123" i="16" s="1"/>
  <c r="EG123" i="16"/>
  <c r="EM123" i="16" s="1"/>
  <c r="BY123" i="16"/>
  <c r="CE123" i="16" s="1"/>
  <c r="BO123" i="16"/>
  <c r="BU123" i="16" s="1"/>
  <c r="DW123" i="16"/>
  <c r="EC123" i="16" s="1"/>
  <c r="CI123" i="16"/>
  <c r="CO123" i="16" s="1"/>
  <c r="AU123" i="16"/>
  <c r="BA123" i="16" s="1"/>
  <c r="AK123" i="16"/>
  <c r="AQ123" i="16" s="1"/>
  <c r="CS123" i="16"/>
  <c r="CY123" i="16" s="1"/>
  <c r="BE123" i="16"/>
  <c r="BK123" i="16" s="1"/>
  <c r="G123" i="16"/>
  <c r="M123" i="16" s="1"/>
  <c r="DC123" i="16"/>
  <c r="DI123" i="16" s="1"/>
  <c r="DM123" i="16"/>
  <c r="DS123" i="16" s="1"/>
  <c r="AA123" i="16"/>
  <c r="AG123" i="16" s="1"/>
  <c r="Q123" i="16"/>
  <c r="W123" i="16" s="1"/>
  <c r="I46" i="16"/>
  <c r="D106" i="16"/>
  <c r="GE118" i="16"/>
  <c r="GK118" i="16" s="1"/>
  <c r="GO118" i="16"/>
  <c r="GU118" i="16" s="1"/>
  <c r="FU118" i="16"/>
  <c r="GA118" i="16" s="1"/>
  <c r="FA118" i="16"/>
  <c r="FG118" i="16" s="1"/>
  <c r="EG118" i="16"/>
  <c r="EM118" i="16" s="1"/>
  <c r="EQ118" i="16"/>
  <c r="EW118" i="16" s="1"/>
  <c r="CI118" i="16"/>
  <c r="CO118" i="16" s="1"/>
  <c r="AU118" i="16"/>
  <c r="BA118" i="16" s="1"/>
  <c r="AK118" i="16"/>
  <c r="AQ118" i="16" s="1"/>
  <c r="DC118" i="16"/>
  <c r="DI118" i="16" s="1"/>
  <c r="CS118" i="16"/>
  <c r="CY118" i="16" s="1"/>
  <c r="FK118" i="16"/>
  <c r="FQ118" i="16" s="1"/>
  <c r="DM118" i="16"/>
  <c r="DS118" i="16" s="1"/>
  <c r="AA118" i="16"/>
  <c r="AG118" i="16" s="1"/>
  <c r="BY118" i="16"/>
  <c r="CE118" i="16" s="1"/>
  <c r="BE118" i="16"/>
  <c r="BK118" i="16" s="1"/>
  <c r="BO118" i="16"/>
  <c r="BU118" i="16" s="1"/>
  <c r="Q118" i="16"/>
  <c r="W118" i="16" s="1"/>
  <c r="DW118" i="16"/>
  <c r="EC118" i="16" s="1"/>
  <c r="G118" i="16"/>
  <c r="GO97" i="16"/>
  <c r="GU97" i="16" s="1"/>
  <c r="FU97" i="16"/>
  <c r="GA97" i="16" s="1"/>
  <c r="FK97" i="16"/>
  <c r="FQ97" i="16" s="1"/>
  <c r="GE97" i="16"/>
  <c r="GK97" i="16" s="1"/>
  <c r="FA97" i="16"/>
  <c r="FG97" i="16" s="1"/>
  <c r="EG97" i="16"/>
  <c r="EM97" i="16" s="1"/>
  <c r="DW97" i="16"/>
  <c r="EC97" i="16" s="1"/>
  <c r="DM97" i="16"/>
  <c r="DS97" i="16" s="1"/>
  <c r="DC97" i="16"/>
  <c r="DI97" i="16" s="1"/>
  <c r="CS97" i="16"/>
  <c r="EQ97" i="16"/>
  <c r="EW97" i="16" s="1"/>
  <c r="BE97" i="16"/>
  <c r="BK97" i="16" s="1"/>
  <c r="CI97" i="16"/>
  <c r="CO97" i="16" s="1"/>
  <c r="BY97" i="16"/>
  <c r="BO97" i="16"/>
  <c r="BU97" i="16" s="1"/>
  <c r="AU97" i="16"/>
  <c r="BA97" i="16" s="1"/>
  <c r="AK97" i="16"/>
  <c r="AQ97" i="16" s="1"/>
  <c r="Q97" i="16"/>
  <c r="W97" i="16" s="1"/>
  <c r="G97" i="16"/>
  <c r="AA97" i="16"/>
  <c r="AG97" i="16" s="1"/>
  <c r="GO92" i="16"/>
  <c r="GU92" i="16" s="1"/>
  <c r="FU92" i="16"/>
  <c r="GA92" i="16" s="1"/>
  <c r="DW92" i="16"/>
  <c r="EC92" i="16" s="1"/>
  <c r="DM92" i="16"/>
  <c r="DS92" i="16" s="1"/>
  <c r="GE92" i="16"/>
  <c r="GK92" i="16" s="1"/>
  <c r="FA92" i="16"/>
  <c r="FG92" i="16" s="1"/>
  <c r="EQ92" i="16"/>
  <c r="EW92" i="16" s="1"/>
  <c r="BE92" i="16"/>
  <c r="BK92" i="16" s="1"/>
  <c r="FK92" i="16"/>
  <c r="FQ92" i="16" s="1"/>
  <c r="EG92" i="16"/>
  <c r="BY92" i="16"/>
  <c r="CE92" i="16" s="1"/>
  <c r="BO92" i="16"/>
  <c r="BU92" i="16" s="1"/>
  <c r="DC92" i="16"/>
  <c r="DI92" i="16" s="1"/>
  <c r="Q92" i="16"/>
  <c r="W92" i="16" s="1"/>
  <c r="CS92" i="16"/>
  <c r="CY92" i="16" s="1"/>
  <c r="CI92" i="16"/>
  <c r="CO92" i="16" s="1"/>
  <c r="G92" i="16"/>
  <c r="AU92" i="16"/>
  <c r="BA92" i="16" s="1"/>
  <c r="AK92" i="16"/>
  <c r="AQ92" i="16" s="1"/>
  <c r="AA92" i="16"/>
  <c r="AG92" i="16" s="1"/>
  <c r="GO72" i="16"/>
  <c r="GU72" i="16" s="1"/>
  <c r="GE72" i="16"/>
  <c r="GK72" i="16" s="1"/>
  <c r="FK72" i="16"/>
  <c r="FQ72" i="16" s="1"/>
  <c r="DW72" i="16"/>
  <c r="EC72" i="16" s="1"/>
  <c r="DM72" i="16"/>
  <c r="DS72" i="16" s="1"/>
  <c r="EQ72" i="16"/>
  <c r="EW72" i="16" s="1"/>
  <c r="FA72" i="16"/>
  <c r="FG72" i="16" s="1"/>
  <c r="BE72" i="16"/>
  <c r="BK72" i="16" s="1"/>
  <c r="FU72" i="16"/>
  <c r="GA72" i="16" s="1"/>
  <c r="BY72" i="16"/>
  <c r="CE72" i="16" s="1"/>
  <c r="BO72" i="16"/>
  <c r="BU72" i="16" s="1"/>
  <c r="EG72" i="16"/>
  <c r="EM72" i="16" s="1"/>
  <c r="AU72" i="16"/>
  <c r="BA72" i="16" s="1"/>
  <c r="AK72" i="16"/>
  <c r="AQ72" i="16" s="1"/>
  <c r="Q72" i="16"/>
  <c r="W72" i="16" s="1"/>
  <c r="CI72" i="16"/>
  <c r="CO72" i="16" s="1"/>
  <c r="AA72" i="16"/>
  <c r="AG72" i="16" s="1"/>
  <c r="G72" i="16"/>
  <c r="DC72" i="16"/>
  <c r="DI72" i="16" s="1"/>
  <c r="CS72" i="16"/>
  <c r="GE7" i="16"/>
  <c r="GK7" i="16" s="1"/>
  <c r="GO7" i="16"/>
  <c r="GU7" i="16" s="1"/>
  <c r="EQ7" i="16"/>
  <c r="EW7" i="16" s="1"/>
  <c r="FU7" i="16"/>
  <c r="GA7" i="16" s="1"/>
  <c r="DM7" i="16"/>
  <c r="DS7" i="16" s="1"/>
  <c r="BY7" i="16"/>
  <c r="CE7" i="16" s="1"/>
  <c r="BO7" i="16"/>
  <c r="BU7" i="16" s="1"/>
  <c r="FK7" i="16"/>
  <c r="FQ7" i="16" s="1"/>
  <c r="CI7" i="16"/>
  <c r="CO7" i="16" s="1"/>
  <c r="AU7" i="16"/>
  <c r="BA7" i="16" s="1"/>
  <c r="AK7" i="16"/>
  <c r="AQ7" i="16" s="1"/>
  <c r="FA7" i="16"/>
  <c r="FG7" i="16" s="1"/>
  <c r="DW7" i="16"/>
  <c r="EC7" i="16" s="1"/>
  <c r="AA7" i="16"/>
  <c r="AG7" i="16" s="1"/>
  <c r="G7" i="16"/>
  <c r="M7" i="16" s="1"/>
  <c r="CS7" i="16"/>
  <c r="DC7" i="16"/>
  <c r="DI7" i="16" s="1"/>
  <c r="BE7" i="16"/>
  <c r="BK7" i="16" s="1"/>
  <c r="EG7" i="16"/>
  <c r="EM7" i="16" s="1"/>
  <c r="Q7" i="16"/>
  <c r="W7" i="16" s="1"/>
  <c r="D86" i="16"/>
  <c r="GO48" i="16"/>
  <c r="GU48" i="16" s="1"/>
  <c r="GE48" i="16"/>
  <c r="GK48" i="16" s="1"/>
  <c r="FU48" i="16"/>
  <c r="GA48" i="16" s="1"/>
  <c r="DW48" i="16"/>
  <c r="DM48" i="16"/>
  <c r="FK48" i="16"/>
  <c r="FQ48" i="16" s="1"/>
  <c r="EQ48" i="16"/>
  <c r="EW48" i="16" s="1"/>
  <c r="BE48" i="16"/>
  <c r="BK48" i="16" s="1"/>
  <c r="BY48" i="16"/>
  <c r="CE48" i="16" s="1"/>
  <c r="BO48" i="16"/>
  <c r="AU48" i="16"/>
  <c r="BA48" i="16" s="1"/>
  <c r="AK48" i="16"/>
  <c r="AQ48" i="16" s="1"/>
  <c r="Q48" i="16"/>
  <c r="CS48" i="16"/>
  <c r="CY48" i="16" s="1"/>
  <c r="FA48" i="16"/>
  <c r="FG48" i="16" s="1"/>
  <c r="AA48" i="16"/>
  <c r="AG48" i="16" s="1"/>
  <c r="G48" i="16"/>
  <c r="EG48" i="16"/>
  <c r="EM48" i="16" s="1"/>
  <c r="DC48" i="16"/>
  <c r="DI48" i="16" s="1"/>
  <c r="CI48" i="16"/>
  <c r="CO48" i="16" s="1"/>
  <c r="BQ10" i="16"/>
  <c r="DO70" i="16"/>
  <c r="CA60" i="16"/>
  <c r="DY80" i="16"/>
  <c r="AM80" i="16"/>
  <c r="FM116" i="16"/>
  <c r="AC116" i="16"/>
  <c r="GQ110" i="16"/>
  <c r="AE36" i="16"/>
  <c r="AC35" i="16"/>
  <c r="CM36" i="16"/>
  <c r="CK35" i="16"/>
  <c r="BQ35" i="16"/>
  <c r="BS36" i="16"/>
  <c r="ES35" i="16"/>
  <c r="EU36" i="16"/>
  <c r="GI36" i="16"/>
  <c r="GG35" i="16"/>
  <c r="GO37" i="16"/>
  <c r="GE37" i="16"/>
  <c r="GK37" i="16" s="1"/>
  <c r="FU37" i="16"/>
  <c r="GA37" i="16" s="1"/>
  <c r="FK37" i="16"/>
  <c r="FQ37" i="16" s="1"/>
  <c r="FA37" i="16"/>
  <c r="EG37" i="16"/>
  <c r="EM37" i="16" s="1"/>
  <c r="DW37" i="16"/>
  <c r="EC37" i="16" s="1"/>
  <c r="DM37" i="16"/>
  <c r="DS37" i="16" s="1"/>
  <c r="DC37" i="16"/>
  <c r="DI37" i="16" s="1"/>
  <c r="CS37" i="16"/>
  <c r="CY37" i="16" s="1"/>
  <c r="AA37" i="16"/>
  <c r="AG37" i="16" s="1"/>
  <c r="BE37" i="16"/>
  <c r="BK37" i="16" s="1"/>
  <c r="EQ37" i="16"/>
  <c r="EW37" i="16" s="1"/>
  <c r="BY37" i="16"/>
  <c r="CE37" i="16" s="1"/>
  <c r="BO37" i="16"/>
  <c r="Q37" i="16"/>
  <c r="CI37" i="16"/>
  <c r="CO37" i="16" s="1"/>
  <c r="G37" i="16"/>
  <c r="M37" i="16" s="1"/>
  <c r="AU37" i="16"/>
  <c r="BA37" i="16" s="1"/>
  <c r="AK37" i="16"/>
  <c r="AQ37" i="16" s="1"/>
  <c r="BS66" i="16"/>
  <c r="BQ65" i="16"/>
  <c r="CW66" i="16"/>
  <c r="CU65" i="16"/>
  <c r="AY66" i="16"/>
  <c r="AW65" i="16"/>
  <c r="FO66" i="16"/>
  <c r="FM65" i="16"/>
  <c r="GS66" i="16"/>
  <c r="GQ65" i="16"/>
  <c r="CW26" i="16"/>
  <c r="CU25" i="16"/>
  <c r="AY26" i="16"/>
  <c r="AW25" i="16"/>
  <c r="FE26" i="16"/>
  <c r="FC25" i="16"/>
  <c r="GS26" i="16"/>
  <c r="GQ25" i="16"/>
  <c r="CM21" i="16"/>
  <c r="EU21" i="16"/>
  <c r="DG21" i="16"/>
  <c r="FE21" i="16"/>
  <c r="GS21" i="16"/>
  <c r="CU70" i="16"/>
  <c r="ES50" i="16"/>
  <c r="GG80" i="16"/>
  <c r="CA110" i="16"/>
  <c r="BS6" i="16"/>
  <c r="BQ5" i="16"/>
  <c r="AE6" i="16"/>
  <c r="AC5" i="16"/>
  <c r="AY6" i="16"/>
  <c r="AW5" i="16"/>
  <c r="FO6" i="16"/>
  <c r="FM5" i="16"/>
  <c r="GS6" i="16"/>
  <c r="GQ5" i="16"/>
  <c r="DG117" i="16"/>
  <c r="GI117" i="16"/>
  <c r="GS117" i="16"/>
  <c r="DE75" i="16"/>
  <c r="DG76" i="16"/>
  <c r="BI76" i="16"/>
  <c r="BG75" i="16"/>
  <c r="DO75" i="16"/>
  <c r="DQ76" i="16"/>
  <c r="GQ75" i="16"/>
  <c r="GS76" i="16"/>
  <c r="AY122" i="16"/>
  <c r="FE122" i="16"/>
  <c r="GS122" i="16"/>
  <c r="GG70" i="16"/>
  <c r="BG100" i="16"/>
  <c r="AC30" i="16"/>
  <c r="CU110" i="16"/>
  <c r="DQ86" i="16"/>
  <c r="DO85" i="16"/>
  <c r="AY86" i="16"/>
  <c r="AW85" i="16"/>
  <c r="EK86" i="16"/>
  <c r="EI85" i="16"/>
  <c r="GI86" i="16"/>
  <c r="GG85" i="16"/>
  <c r="DG101" i="16"/>
  <c r="GI101" i="16"/>
  <c r="GS101" i="16"/>
  <c r="BS81" i="16"/>
  <c r="BI81" i="16"/>
  <c r="DG81" i="16"/>
  <c r="FE81" i="16"/>
  <c r="GS81" i="16"/>
  <c r="CW47" i="16"/>
  <c r="CM47" i="16"/>
  <c r="CC47" i="16"/>
  <c r="GI47" i="16"/>
  <c r="AW20" i="16"/>
  <c r="AM90" i="16"/>
  <c r="AW10" i="16"/>
  <c r="FW70" i="16"/>
  <c r="DE70" i="16"/>
  <c r="CA100" i="16"/>
  <c r="FM121" i="16"/>
  <c r="ES121" i="16"/>
  <c r="CK60" i="16"/>
  <c r="DO80" i="16"/>
  <c r="DE116" i="16"/>
  <c r="GQ40" i="16"/>
  <c r="EU61" i="16"/>
  <c r="BS61" i="16"/>
  <c r="CW61" i="16"/>
  <c r="EK61" i="16"/>
  <c r="GI61" i="16"/>
  <c r="AO56" i="16"/>
  <c r="AM55" i="16"/>
  <c r="BS56" i="16"/>
  <c r="BQ55" i="16"/>
  <c r="EU56" i="16"/>
  <c r="ES55" i="16"/>
  <c r="FO56" i="16"/>
  <c r="FM55" i="16"/>
  <c r="AE71" i="16"/>
  <c r="AY71" i="16"/>
  <c r="CC71" i="16"/>
  <c r="GS71" i="16"/>
  <c r="CM41" i="16"/>
  <c r="CW41" i="16"/>
  <c r="EK41" i="16"/>
  <c r="GI41" i="16"/>
  <c r="BI111" i="16"/>
  <c r="DG111" i="16"/>
  <c r="AO111" i="16"/>
  <c r="BS111" i="16"/>
  <c r="FO111" i="16"/>
  <c r="EI15" i="16"/>
  <c r="EK16" i="16"/>
  <c r="CM16" i="16"/>
  <c r="CK15" i="16"/>
  <c r="BS16" i="16"/>
  <c r="BQ15" i="16"/>
  <c r="FO16" i="16"/>
  <c r="FM15" i="16"/>
  <c r="GI16" i="16"/>
  <c r="GG15" i="16"/>
  <c r="FW20" i="16"/>
  <c r="DY90" i="16"/>
  <c r="BG90" i="16"/>
  <c r="FC70" i="16"/>
  <c r="AC100" i="16"/>
  <c r="CK50" i="16"/>
  <c r="AC121" i="16"/>
  <c r="BG60" i="16"/>
  <c r="AC60" i="16"/>
  <c r="FC80" i="16"/>
  <c r="FW110" i="16"/>
  <c r="CA40" i="16"/>
  <c r="BI46" i="16"/>
  <c r="BG46" i="16"/>
  <c r="BG45" i="16"/>
  <c r="CA46" i="16"/>
  <c r="CC46" i="16"/>
  <c r="CA45" i="16"/>
  <c r="AO46" i="16"/>
  <c r="AM46" i="16"/>
  <c r="AM45" i="16"/>
  <c r="GQ46" i="16"/>
  <c r="GS46" i="16"/>
  <c r="GQ45" i="16"/>
  <c r="GG46" i="16"/>
  <c r="GI46" i="16"/>
  <c r="GG45" i="16"/>
  <c r="DG96" i="16"/>
  <c r="DE95" i="16"/>
  <c r="CM96" i="16"/>
  <c r="CK96" i="16"/>
  <c r="CK95" i="16"/>
  <c r="AY96" i="16"/>
  <c r="AW95" i="16"/>
  <c r="EU96" i="16"/>
  <c r="ES95" i="16"/>
  <c r="GI96" i="16"/>
  <c r="GG95" i="16"/>
  <c r="CW31" i="16"/>
  <c r="CM31" i="16"/>
  <c r="DQ31" i="16"/>
  <c r="GS31" i="16"/>
  <c r="CK20" i="16"/>
  <c r="AC70" i="16"/>
  <c r="FC50" i="16"/>
  <c r="FC30" i="16"/>
  <c r="DO60" i="16"/>
  <c r="AW80" i="16"/>
  <c r="FW116" i="16"/>
  <c r="BI106" i="16"/>
  <c r="BG105" i="16"/>
  <c r="CW106" i="16"/>
  <c r="CU105" i="16"/>
  <c r="AY106" i="16"/>
  <c r="AW105" i="16"/>
  <c r="FE106" i="16"/>
  <c r="FC105" i="16"/>
  <c r="GS106" i="16"/>
  <c r="GQ105" i="16"/>
  <c r="GI11" i="16"/>
  <c r="U100" i="16"/>
  <c r="U95" i="16"/>
  <c r="U75" i="16"/>
  <c r="U50" i="16"/>
  <c r="U30" i="16"/>
  <c r="U90" i="16"/>
  <c r="U25" i="16"/>
  <c r="U61" i="16"/>
  <c r="U85" i="16"/>
  <c r="U110" i="16"/>
  <c r="S110" i="16"/>
  <c r="U20" i="16"/>
  <c r="U120" i="16"/>
  <c r="S120" i="16"/>
  <c r="U106" i="16"/>
  <c r="U55" i="16"/>
  <c r="U35" i="16"/>
  <c r="S35" i="16"/>
  <c r="U60" i="16"/>
  <c r="S60" i="16"/>
  <c r="U36" i="16"/>
  <c r="U116" i="16"/>
  <c r="S116" i="16"/>
  <c r="U46" i="16"/>
  <c r="U40" i="16"/>
  <c r="S40" i="16"/>
  <c r="S45" i="16"/>
  <c r="U15" i="16"/>
  <c r="U10" i="16"/>
  <c r="D51" i="16"/>
  <c r="D6" i="16"/>
  <c r="I65" i="16"/>
  <c r="I105" i="16"/>
  <c r="D21" i="16"/>
  <c r="C98" i="16"/>
  <c r="D97" i="16" s="1"/>
  <c r="C88" i="16"/>
  <c r="C8" i="16"/>
  <c r="C9" i="16" s="1"/>
  <c r="C13" i="16"/>
  <c r="D12" i="16" s="1"/>
  <c r="D11" i="16"/>
  <c r="D71" i="16"/>
  <c r="K101" i="16"/>
  <c r="C103" i="16"/>
  <c r="C53" i="16"/>
  <c r="D66" i="16"/>
  <c r="I70" i="16"/>
  <c r="D56" i="16"/>
  <c r="C58" i="16"/>
  <c r="C59" i="16" s="1"/>
  <c r="C73" i="16"/>
  <c r="C68" i="16"/>
  <c r="C78" i="16"/>
  <c r="D101" i="16"/>
  <c r="D76" i="16"/>
  <c r="D91" i="16"/>
  <c r="C93" i="16"/>
  <c r="D96" i="16"/>
  <c r="D31" i="16"/>
  <c r="I80" i="16"/>
  <c r="C33" i="16"/>
  <c r="C119" i="16"/>
  <c r="D117" i="16"/>
  <c r="D37" i="16"/>
  <c r="D81" i="16"/>
  <c r="D107" i="16"/>
  <c r="C109" i="16"/>
  <c r="C28" i="16"/>
  <c r="D111" i="16"/>
  <c r="D26" i="16"/>
  <c r="C23" i="16"/>
  <c r="D16" i="16"/>
  <c r="C113" i="16"/>
  <c r="C43" i="16"/>
  <c r="D41" i="16"/>
  <c r="C83" i="16"/>
  <c r="C18" i="16"/>
  <c r="C39" i="16"/>
  <c r="K47" i="16"/>
  <c r="D48" i="16"/>
  <c r="D49" i="16"/>
  <c r="D122" i="16"/>
  <c r="C124" i="16"/>
  <c r="I121" i="16"/>
  <c r="GE63" i="16" l="1"/>
  <c r="GK63" i="16" s="1"/>
  <c r="GL62" i="16" s="1"/>
  <c r="BU37" i="16"/>
  <c r="BV37" i="16" s="1"/>
  <c r="FG37" i="16"/>
  <c r="FH37" i="16" s="1"/>
  <c r="GU37" i="16"/>
  <c r="GV37" i="16" s="1"/>
  <c r="W48" i="16"/>
  <c r="X47" i="16" s="1"/>
  <c r="DS48" i="16"/>
  <c r="DT47" i="16" s="1"/>
  <c r="CY7" i="16"/>
  <c r="CZ6" i="16" s="1"/>
  <c r="CY72" i="16"/>
  <c r="CZ71" i="16" s="1"/>
  <c r="EM92" i="16"/>
  <c r="EN91" i="16" s="1"/>
  <c r="CE97" i="16"/>
  <c r="CF96" i="16" s="1"/>
  <c r="CY97" i="16"/>
  <c r="CZ96" i="16" s="1"/>
  <c r="EC87" i="16"/>
  <c r="ED86" i="16" s="1"/>
  <c r="AQ77" i="16"/>
  <c r="AR76" i="16" s="1"/>
  <c r="EW77" i="16"/>
  <c r="EX76" i="16" s="1"/>
  <c r="AG52" i="16"/>
  <c r="AH51" i="16" s="1"/>
  <c r="CO52" i="16"/>
  <c r="CP51" i="16" s="1"/>
  <c r="BK22" i="16"/>
  <c r="BL21" i="16" s="1"/>
  <c r="CO22" i="16"/>
  <c r="CP21" i="16" s="1"/>
  <c r="BA17" i="16"/>
  <c r="BB16" i="16" s="1"/>
  <c r="DS17" i="16"/>
  <c r="DT16" i="16" s="1"/>
  <c r="BK102" i="16"/>
  <c r="BL101" i="16" s="1"/>
  <c r="AG102" i="16"/>
  <c r="AH101" i="16" s="1"/>
  <c r="BK62" i="16"/>
  <c r="BL61" i="16" s="1"/>
  <c r="FQ62" i="16"/>
  <c r="FR62" i="16" s="1"/>
  <c r="EW82" i="16"/>
  <c r="EX81" i="16" s="1"/>
  <c r="FG82" i="16"/>
  <c r="FH81" i="16" s="1"/>
  <c r="AQ57" i="16"/>
  <c r="AR56" i="16" s="1"/>
  <c r="AG57" i="16"/>
  <c r="AH56" i="16" s="1"/>
  <c r="DI57" i="16"/>
  <c r="DJ56" i="16" s="1"/>
  <c r="FG57" i="16"/>
  <c r="FH56" i="16" s="1"/>
  <c r="BU32" i="16"/>
  <c r="BV31" i="16" s="1"/>
  <c r="CE112" i="16"/>
  <c r="CF111" i="16" s="1"/>
  <c r="CY67" i="16"/>
  <c r="CZ66" i="16" s="1"/>
  <c r="W49" i="16"/>
  <c r="X49" i="16" s="1"/>
  <c r="BA49" i="16"/>
  <c r="BB49" i="16" s="1"/>
  <c r="CE49" i="16"/>
  <c r="CF49" i="16" s="1"/>
  <c r="CO49" i="16"/>
  <c r="CP49" i="16" s="1"/>
  <c r="EW49" i="16"/>
  <c r="EX49" i="16" s="1"/>
  <c r="CY49" i="16"/>
  <c r="CZ49" i="16" s="1"/>
  <c r="DS49" i="16"/>
  <c r="DT49" i="16" s="1"/>
  <c r="EM49" i="16"/>
  <c r="EN49" i="16" s="1"/>
  <c r="FQ49" i="16"/>
  <c r="FR49" i="16" s="1"/>
  <c r="GK49" i="16"/>
  <c r="GL49" i="16" s="1"/>
  <c r="W37" i="16"/>
  <c r="X37" i="16" s="1"/>
  <c r="BU48" i="16"/>
  <c r="BV47" i="16" s="1"/>
  <c r="EC48" i="16"/>
  <c r="ED47" i="16" s="1"/>
  <c r="W107" i="16"/>
  <c r="X107" i="16" s="1"/>
  <c r="K17" i="16"/>
  <c r="M17" i="16"/>
  <c r="W57" i="16"/>
  <c r="X56" i="16" s="1"/>
  <c r="AQ49" i="16"/>
  <c r="AR49" i="16" s="1"/>
  <c r="BU49" i="16"/>
  <c r="BV49" i="16" s="1"/>
  <c r="BK49" i="16"/>
  <c r="BL49" i="16" s="1"/>
  <c r="AG49" i="16"/>
  <c r="AH49" i="16" s="1"/>
  <c r="DI49" i="16"/>
  <c r="DJ49" i="16" s="1"/>
  <c r="EC49" i="16"/>
  <c r="ED49" i="16" s="1"/>
  <c r="FG49" i="16"/>
  <c r="FH49" i="16" s="1"/>
  <c r="GA49" i="16"/>
  <c r="GB49" i="16" s="1"/>
  <c r="GU49" i="16"/>
  <c r="GV49" i="16" s="1"/>
  <c r="BB37" i="16"/>
  <c r="EX37" i="16"/>
  <c r="AH37" i="16"/>
  <c r="DJ37" i="16"/>
  <c r="GB37" i="16"/>
  <c r="EN107" i="16"/>
  <c r="CZ37" i="16"/>
  <c r="DT37" i="16"/>
  <c r="AM36" i="16"/>
  <c r="CA36" i="16"/>
  <c r="BG36" i="16"/>
  <c r="EI36" i="16"/>
  <c r="FM36" i="16"/>
  <c r="GG36" i="16"/>
  <c r="CK47" i="16"/>
  <c r="AC47" i="16"/>
  <c r="AM47" i="16"/>
  <c r="BG47" i="16"/>
  <c r="EK7" i="16"/>
  <c r="DE6" i="16"/>
  <c r="AM6" i="16"/>
  <c r="CK6" i="16"/>
  <c r="GG6" i="16"/>
  <c r="AC71" i="16"/>
  <c r="AW71" i="16"/>
  <c r="BB71" i="16"/>
  <c r="DO71" i="16"/>
  <c r="GQ71" i="16"/>
  <c r="GV71" i="16"/>
  <c r="AM96" i="16"/>
  <c r="BQ96" i="16"/>
  <c r="DE96" i="16"/>
  <c r="FC96" i="16"/>
  <c r="BS118" i="16"/>
  <c r="DO117" i="16"/>
  <c r="CU117" i="16"/>
  <c r="EI117" i="16"/>
  <c r="EN117" i="16"/>
  <c r="FW117" i="16"/>
  <c r="GG117" i="16"/>
  <c r="GL117" i="16"/>
  <c r="DQ123" i="16"/>
  <c r="DY122" i="16"/>
  <c r="CC123" i="16"/>
  <c r="CF122" i="16"/>
  <c r="FM122" i="16"/>
  <c r="FE123" i="16"/>
  <c r="FH122" i="16"/>
  <c r="DQ107" i="16"/>
  <c r="CU106" i="16"/>
  <c r="AY107" i="16"/>
  <c r="EA107" i="16"/>
  <c r="CC107" i="16"/>
  <c r="FO107" i="16"/>
  <c r="FE107" i="16"/>
  <c r="GI107" i="16"/>
  <c r="EK87" i="16"/>
  <c r="AC86" i="16"/>
  <c r="AM86" i="16"/>
  <c r="CA86" i="16"/>
  <c r="FW86" i="16"/>
  <c r="FM86" i="16"/>
  <c r="GG86" i="16"/>
  <c r="CA76" i="16"/>
  <c r="AC76" i="16"/>
  <c r="DY76" i="16"/>
  <c r="FM76" i="16"/>
  <c r="CU51" i="16"/>
  <c r="DY21" i="16"/>
  <c r="ED21" i="16"/>
  <c r="DE21" i="16"/>
  <c r="DJ21" i="16"/>
  <c r="AW21" i="16"/>
  <c r="ES21" i="16"/>
  <c r="EX21" i="16"/>
  <c r="FW21" i="16"/>
  <c r="AM16" i="16"/>
  <c r="AC16" i="16"/>
  <c r="DY16" i="16"/>
  <c r="FC16" i="16"/>
  <c r="FW16" i="16"/>
  <c r="DY101" i="16"/>
  <c r="ED101" i="16"/>
  <c r="AW101" i="16"/>
  <c r="BB101" i="16"/>
  <c r="ES101" i="16"/>
  <c r="EX101" i="16"/>
  <c r="GG101" i="16"/>
  <c r="GL101" i="16"/>
  <c r="BG41" i="16"/>
  <c r="ES41" i="16"/>
  <c r="EX41" i="16"/>
  <c r="CU41" i="16"/>
  <c r="CZ41" i="16"/>
  <c r="DO41" i="16"/>
  <c r="DT41" i="16"/>
  <c r="AW41" i="16"/>
  <c r="BB41" i="16"/>
  <c r="FC41" i="16"/>
  <c r="FH41" i="16"/>
  <c r="FW41" i="16"/>
  <c r="GB41" i="16"/>
  <c r="BQ61" i="16"/>
  <c r="BV61" i="16"/>
  <c r="DO61" i="16"/>
  <c r="AC61" i="16"/>
  <c r="AW61" i="16"/>
  <c r="BB61" i="16"/>
  <c r="ES61" i="16"/>
  <c r="EX61" i="16"/>
  <c r="FC61" i="16"/>
  <c r="GG61" i="16"/>
  <c r="BG11" i="16"/>
  <c r="BL11" i="16"/>
  <c r="BG81" i="16"/>
  <c r="BL81" i="16"/>
  <c r="CA81" i="16"/>
  <c r="CF81" i="16"/>
  <c r="AC81" i="16"/>
  <c r="AH81" i="16"/>
  <c r="AM81" i="16"/>
  <c r="EI81" i="16"/>
  <c r="EN81" i="16"/>
  <c r="GQ81" i="16"/>
  <c r="GV81" i="16"/>
  <c r="BQ56" i="16"/>
  <c r="AW56" i="16"/>
  <c r="CK56" i="16"/>
  <c r="ES56" i="16"/>
  <c r="CU56" i="16"/>
  <c r="DO56" i="16"/>
  <c r="EI56" i="16"/>
  <c r="GG56" i="16"/>
  <c r="FC31" i="16"/>
  <c r="AC31" i="16"/>
  <c r="AM31" i="16"/>
  <c r="AR31" i="16"/>
  <c r="FM31" i="16"/>
  <c r="FR31" i="16"/>
  <c r="ES31" i="16"/>
  <c r="GG31" i="16"/>
  <c r="GL31" i="16"/>
  <c r="AC111" i="16"/>
  <c r="AH111" i="16"/>
  <c r="AM111" i="16"/>
  <c r="BQ111" i="16"/>
  <c r="FM111" i="16"/>
  <c r="GG111" i="16"/>
  <c r="DQ67" i="16"/>
  <c r="DG67" i="16"/>
  <c r="BG66" i="16"/>
  <c r="AO67" i="16"/>
  <c r="CM67" i="16"/>
  <c r="BS67" i="16"/>
  <c r="EI66" i="16"/>
  <c r="FE67" i="16"/>
  <c r="FY67" i="16"/>
  <c r="GS67" i="16"/>
  <c r="DG27" i="16"/>
  <c r="AC26" i="16"/>
  <c r="AO27" i="16"/>
  <c r="CK26" i="16"/>
  <c r="BS27" i="16"/>
  <c r="EU27" i="16"/>
  <c r="FY27" i="16"/>
  <c r="GG26" i="16"/>
  <c r="CF31" i="16"/>
  <c r="CF30" i="16"/>
  <c r="EN31" i="16"/>
  <c r="EN30" i="16"/>
  <c r="ED31" i="16"/>
  <c r="ED30" i="16"/>
  <c r="BL31" i="16"/>
  <c r="BL30" i="16"/>
  <c r="DJ111" i="16"/>
  <c r="DJ110" i="16"/>
  <c r="ED111" i="16"/>
  <c r="ED110" i="16"/>
  <c r="BL111" i="16"/>
  <c r="BL110" i="16"/>
  <c r="GL40" i="16"/>
  <c r="FR40" i="16"/>
  <c r="EN41" i="16"/>
  <c r="EN40" i="16"/>
  <c r="DT40" i="16"/>
  <c r="CZ40" i="16"/>
  <c r="EX40" i="16"/>
  <c r="CP40" i="16"/>
  <c r="BB40" i="16"/>
  <c r="BV40" i="16"/>
  <c r="GV70" i="16"/>
  <c r="GB71" i="16"/>
  <c r="BL71" i="16"/>
  <c r="BL70" i="16"/>
  <c r="CZ61" i="16"/>
  <c r="CZ60" i="16"/>
  <c r="EX60" i="16"/>
  <c r="BB60" i="16"/>
  <c r="FR47" i="16"/>
  <c r="EN47" i="16"/>
  <c r="GB81" i="16"/>
  <c r="GB80" i="16"/>
  <c r="CZ81" i="16"/>
  <c r="CZ80" i="16"/>
  <c r="GB101" i="16"/>
  <c r="GB100" i="16"/>
  <c r="CZ101" i="16"/>
  <c r="CZ100" i="16"/>
  <c r="CP100" i="16"/>
  <c r="EX100" i="16"/>
  <c r="BV101" i="16"/>
  <c r="BB100" i="16"/>
  <c r="GL122" i="16"/>
  <c r="EN122" i="16"/>
  <c r="EN121" i="16"/>
  <c r="GL76" i="16"/>
  <c r="EX116" i="16"/>
  <c r="BV117" i="16"/>
  <c r="BV116" i="16"/>
  <c r="BB116" i="16"/>
  <c r="DT6" i="16"/>
  <c r="EN21" i="16"/>
  <c r="EN20" i="16"/>
  <c r="DT21" i="16"/>
  <c r="DT20" i="16"/>
  <c r="CZ20" i="16"/>
  <c r="GL91" i="16"/>
  <c r="GL90" i="16"/>
  <c r="FH91" i="16"/>
  <c r="FH90" i="16"/>
  <c r="FR91" i="16"/>
  <c r="FR90" i="16"/>
  <c r="CF91" i="16"/>
  <c r="CF90" i="16"/>
  <c r="ED91" i="16"/>
  <c r="ED90" i="16"/>
  <c r="BB91" i="16"/>
  <c r="BB90" i="16"/>
  <c r="CZ91" i="16"/>
  <c r="CZ90" i="16"/>
  <c r="AH91" i="16"/>
  <c r="AH90" i="16"/>
  <c r="GL50" i="16"/>
  <c r="FR51" i="16"/>
  <c r="FR50" i="16"/>
  <c r="EX51" i="16"/>
  <c r="EX50" i="16"/>
  <c r="CF51" i="16"/>
  <c r="CF50" i="16"/>
  <c r="ED51" i="16"/>
  <c r="ED50" i="16"/>
  <c r="BB51" i="16"/>
  <c r="BB50" i="16"/>
  <c r="CZ51" i="16"/>
  <c r="CZ50" i="16"/>
  <c r="DJ36" i="16"/>
  <c r="CZ36" i="16"/>
  <c r="CF121" i="16"/>
  <c r="GB11" i="16"/>
  <c r="GB10" i="16"/>
  <c r="EX11" i="16"/>
  <c r="EX10" i="16"/>
  <c r="EN106" i="16"/>
  <c r="ED96" i="16"/>
  <c r="EX96" i="16"/>
  <c r="CP96" i="16"/>
  <c r="FR96" i="16"/>
  <c r="GV16" i="16"/>
  <c r="CF16" i="16"/>
  <c r="DJ16" i="16"/>
  <c r="EX110" i="16"/>
  <c r="GB40" i="16"/>
  <c r="FH40" i="16"/>
  <c r="ED41" i="16"/>
  <c r="ED40" i="16"/>
  <c r="CF41" i="16"/>
  <c r="EX70" i="16"/>
  <c r="GB60" i="16"/>
  <c r="FH61" i="16"/>
  <c r="FH60" i="16"/>
  <c r="ED61" i="16"/>
  <c r="AR60" i="16"/>
  <c r="GL47" i="16"/>
  <c r="DJ81" i="16"/>
  <c r="DJ80" i="16"/>
  <c r="AH80" i="16"/>
  <c r="BL80" i="16"/>
  <c r="BV81" i="16"/>
  <c r="BV80" i="16"/>
  <c r="GL100" i="16"/>
  <c r="ED100" i="16"/>
  <c r="DJ101" i="16"/>
  <c r="DJ100" i="16"/>
  <c r="BB122" i="16"/>
  <c r="DT122" i="16"/>
  <c r="CZ122" i="16"/>
  <c r="CZ121" i="16"/>
  <c r="BV122" i="16"/>
  <c r="DJ76" i="16"/>
  <c r="GL116" i="16"/>
  <c r="ED117" i="16"/>
  <c r="BL116" i="16"/>
  <c r="CF117" i="16"/>
  <c r="GV20" i="16"/>
  <c r="EX20" i="16"/>
  <c r="BV20" i="16"/>
  <c r="GV91" i="16"/>
  <c r="GV90" i="16"/>
  <c r="GB91" i="16"/>
  <c r="GB90" i="16"/>
  <c r="EX91" i="16"/>
  <c r="EX90" i="16"/>
  <c r="DT91" i="16"/>
  <c r="DT90" i="16"/>
  <c r="DJ91" i="16"/>
  <c r="DJ90" i="16"/>
  <c r="GV51" i="16"/>
  <c r="GV50" i="16"/>
  <c r="GB51" i="16"/>
  <c r="GB50" i="16"/>
  <c r="FH51" i="16"/>
  <c r="FH50" i="16"/>
  <c r="EN50" i="16"/>
  <c r="BV51" i="16"/>
  <c r="BV50" i="16"/>
  <c r="DT36" i="16"/>
  <c r="CK36" i="16"/>
  <c r="DY36" i="16"/>
  <c r="DE47" i="16"/>
  <c r="FC47" i="16"/>
  <c r="AW47" i="16"/>
  <c r="CA47" i="16"/>
  <c r="ES47" i="16"/>
  <c r="FW47" i="16"/>
  <c r="BI7" i="16"/>
  <c r="FC6" i="16"/>
  <c r="AW6" i="16"/>
  <c r="FM6" i="16"/>
  <c r="FW6" i="16"/>
  <c r="GQ6" i="16"/>
  <c r="CK71" i="16"/>
  <c r="CP71" i="16"/>
  <c r="CA71" i="16"/>
  <c r="CF71" i="16"/>
  <c r="ES71" i="16"/>
  <c r="DY71" i="16"/>
  <c r="GG71" i="16"/>
  <c r="BI92" i="16"/>
  <c r="AC96" i="16"/>
  <c r="AW96" i="16"/>
  <c r="BG96" i="16"/>
  <c r="DO96" i="16"/>
  <c r="GG96" i="16"/>
  <c r="BG117" i="16"/>
  <c r="AC117" i="16"/>
  <c r="AW117" i="16"/>
  <c r="ES117" i="16"/>
  <c r="FC117" i="16"/>
  <c r="AE123" i="16"/>
  <c r="AO123" i="16"/>
  <c r="AR122" i="16"/>
  <c r="CM123" i="16"/>
  <c r="ES122" i="16"/>
  <c r="FY123" i="16"/>
  <c r="GB122" i="16"/>
  <c r="GQ122" i="16"/>
  <c r="GV122" i="16"/>
  <c r="AE107" i="16"/>
  <c r="DG107" i="16"/>
  <c r="BG106" i="16"/>
  <c r="AO107" i="16"/>
  <c r="CM107" i="16"/>
  <c r="BS107" i="16"/>
  <c r="EU107" i="16"/>
  <c r="FY107" i="16"/>
  <c r="GS107" i="16"/>
  <c r="BI87" i="16"/>
  <c r="FC86" i="16"/>
  <c r="DE86" i="16"/>
  <c r="AW86" i="16"/>
  <c r="BQ86" i="16"/>
  <c r="DO86" i="16"/>
  <c r="ES86" i="16"/>
  <c r="GQ86" i="16"/>
  <c r="CK76" i="16"/>
  <c r="BQ76" i="16"/>
  <c r="BG76" i="16"/>
  <c r="CU76" i="16"/>
  <c r="DO76" i="16"/>
  <c r="EI76" i="16"/>
  <c r="FC76" i="16"/>
  <c r="FW76" i="16"/>
  <c r="EI51" i="16"/>
  <c r="EN51" i="16"/>
  <c r="GG51" i="16"/>
  <c r="BQ21" i="16"/>
  <c r="CU21" i="16"/>
  <c r="AM21" i="16"/>
  <c r="FM21" i="16"/>
  <c r="FC21" i="16"/>
  <c r="FH21" i="16"/>
  <c r="GQ21" i="16"/>
  <c r="GV21" i="16"/>
  <c r="CK16" i="16"/>
  <c r="ES16" i="16"/>
  <c r="CU16" i="16"/>
  <c r="EI16" i="16"/>
  <c r="FM16" i="16"/>
  <c r="GG16" i="16"/>
  <c r="AM101" i="16"/>
  <c r="CK101" i="16"/>
  <c r="FC101" i="16"/>
  <c r="GQ101" i="16"/>
  <c r="GV101" i="16"/>
  <c r="BQ41" i="16"/>
  <c r="DE41" i="16"/>
  <c r="CK41" i="16"/>
  <c r="FM41" i="16"/>
  <c r="FR41" i="16"/>
  <c r="GG41" i="16"/>
  <c r="GL41" i="16"/>
  <c r="CA61" i="16"/>
  <c r="AM61" i="16"/>
  <c r="EI61" i="16"/>
  <c r="EN61" i="16"/>
  <c r="FW61" i="16"/>
  <c r="CK11" i="16"/>
  <c r="CP11" i="16"/>
  <c r="EI11" i="16"/>
  <c r="GG11" i="16"/>
  <c r="GL11" i="16"/>
  <c r="FM81" i="16"/>
  <c r="DO81" i="16"/>
  <c r="AW81" i="16"/>
  <c r="DY81" i="16"/>
  <c r="GG81" i="16"/>
  <c r="CA56" i="16"/>
  <c r="DY56" i="16"/>
  <c r="FW56" i="16"/>
  <c r="GQ56" i="16"/>
  <c r="CU31" i="16"/>
  <c r="CZ31" i="16"/>
  <c r="AW31" i="16"/>
  <c r="BB31" i="16"/>
  <c r="FW31" i="16"/>
  <c r="CU111" i="16"/>
  <c r="ES111" i="16"/>
  <c r="EX111" i="16"/>
  <c r="FW111" i="16"/>
  <c r="AE67" i="16"/>
  <c r="AY67" i="16"/>
  <c r="EA67" i="16"/>
  <c r="CC67" i="16"/>
  <c r="EU67" i="16"/>
  <c r="FO67" i="16"/>
  <c r="GI67" i="16"/>
  <c r="DQ27" i="16"/>
  <c r="AY27" i="16"/>
  <c r="EA27" i="16"/>
  <c r="CC27" i="16"/>
  <c r="FO27" i="16"/>
  <c r="FE27" i="16"/>
  <c r="GS27" i="16"/>
  <c r="BI108" i="16"/>
  <c r="GV11" i="16"/>
  <c r="GV10" i="16"/>
  <c r="FH11" i="16"/>
  <c r="FH10" i="16"/>
  <c r="GL10" i="16"/>
  <c r="CF11" i="16"/>
  <c r="CF10" i="16"/>
  <c r="ED11" i="16"/>
  <c r="ED10" i="16"/>
  <c r="BB11" i="16"/>
  <c r="BB10" i="16"/>
  <c r="CZ11" i="16"/>
  <c r="CZ10" i="16"/>
  <c r="DT11" i="16"/>
  <c r="DT10" i="16"/>
  <c r="DJ11" i="16"/>
  <c r="DJ10" i="16"/>
  <c r="GL30" i="16"/>
  <c r="FR30" i="16"/>
  <c r="BB30" i="16"/>
  <c r="GV96" i="16"/>
  <c r="GB96" i="16"/>
  <c r="EN96" i="16"/>
  <c r="BL16" i="16"/>
  <c r="BV16" i="16"/>
  <c r="FR111" i="16"/>
  <c r="FR110" i="16"/>
  <c r="DT111" i="16"/>
  <c r="DT110" i="16"/>
  <c r="BV111" i="16"/>
  <c r="BV110" i="16"/>
  <c r="CP111" i="16"/>
  <c r="CP110" i="16"/>
  <c r="AR111" i="16"/>
  <c r="AR110" i="16"/>
  <c r="GV111" i="16"/>
  <c r="CF70" i="16"/>
  <c r="FR71" i="16"/>
  <c r="FR70" i="16"/>
  <c r="BB70" i="16"/>
  <c r="FH71" i="16"/>
  <c r="DJ71" i="16"/>
  <c r="FR56" i="16"/>
  <c r="BL56" i="16"/>
  <c r="GL60" i="16"/>
  <c r="FR60" i="16"/>
  <c r="EN60" i="16"/>
  <c r="BV60" i="16"/>
  <c r="CP61" i="16"/>
  <c r="EN80" i="16"/>
  <c r="CP81" i="16"/>
  <c r="CP80" i="16"/>
  <c r="CF80" i="16"/>
  <c r="EN101" i="16"/>
  <c r="EN100" i="16"/>
  <c r="DT101" i="16"/>
  <c r="CP86" i="16"/>
  <c r="CZ86" i="16"/>
  <c r="AR121" i="16"/>
  <c r="DJ122" i="16"/>
  <c r="BL122" i="16"/>
  <c r="BL121" i="16"/>
  <c r="BB76" i="16"/>
  <c r="EN116" i="16"/>
  <c r="CP117" i="16"/>
  <c r="GL21" i="16"/>
  <c r="GL20" i="16"/>
  <c r="CF21" i="16"/>
  <c r="CF20" i="16"/>
  <c r="EN26" i="16"/>
  <c r="BV11" i="16"/>
  <c r="BV10" i="16"/>
  <c r="CP10" i="16"/>
  <c r="AR11" i="16"/>
  <c r="AR10" i="16"/>
  <c r="BL10" i="16"/>
  <c r="AH11" i="16"/>
  <c r="AH10" i="16"/>
  <c r="FR11" i="16"/>
  <c r="FR10" i="16"/>
  <c r="GV31" i="16"/>
  <c r="DT31" i="16"/>
  <c r="CP31" i="16"/>
  <c r="CP30" i="16"/>
  <c r="AR30" i="16"/>
  <c r="DJ31" i="16"/>
  <c r="DJ30" i="16"/>
  <c r="CZ30" i="16"/>
  <c r="FH111" i="16"/>
  <c r="FH110" i="16"/>
  <c r="BB111" i="16"/>
  <c r="BB110" i="16"/>
  <c r="EN111" i="16"/>
  <c r="EN110" i="16"/>
  <c r="AH110" i="16"/>
  <c r="GV41" i="16"/>
  <c r="AH41" i="16"/>
  <c r="AH40" i="16"/>
  <c r="BL41" i="16"/>
  <c r="BL40" i="16"/>
  <c r="AR41" i="16"/>
  <c r="BV71" i="16"/>
  <c r="BV70" i="16"/>
  <c r="CP70" i="16"/>
  <c r="AR71" i="16"/>
  <c r="AR70" i="16"/>
  <c r="EN71" i="16"/>
  <c r="EN70" i="16"/>
  <c r="GV61" i="16"/>
  <c r="DJ61" i="16"/>
  <c r="GV47" i="16"/>
  <c r="CZ47" i="16"/>
  <c r="GV80" i="16"/>
  <c r="GV100" i="16"/>
  <c r="FR101" i="16"/>
  <c r="CF101" i="16"/>
  <c r="GV121" i="16"/>
  <c r="GB121" i="16"/>
  <c r="GV76" i="16"/>
  <c r="GV117" i="16"/>
  <c r="GV116" i="16"/>
  <c r="FR117" i="16"/>
  <c r="DJ117" i="16"/>
  <c r="AR117" i="16"/>
  <c r="EX6" i="16"/>
  <c r="AH6" i="16"/>
  <c r="CF6" i="16"/>
  <c r="BV6" i="16"/>
  <c r="ED6" i="16"/>
  <c r="FH20" i="16"/>
  <c r="ED20" i="16"/>
  <c r="DJ20" i="16"/>
  <c r="AH21" i="16"/>
  <c r="CZ26" i="16"/>
  <c r="BL26" i="16"/>
  <c r="BV91" i="16"/>
  <c r="BV90" i="16"/>
  <c r="CP91" i="16"/>
  <c r="CP90" i="16"/>
  <c r="AR91" i="16"/>
  <c r="AR90" i="16"/>
  <c r="AR51" i="16"/>
  <c r="AR50" i="16"/>
  <c r="BL51" i="16"/>
  <c r="BL50" i="16"/>
  <c r="DJ51" i="16"/>
  <c r="DJ50" i="16"/>
  <c r="DT51" i="16"/>
  <c r="DT50" i="16"/>
  <c r="GB36" i="16"/>
  <c r="EX36" i="16"/>
  <c r="BB36" i="16"/>
  <c r="AH36" i="16"/>
  <c r="X31" i="16"/>
  <c r="X96" i="16"/>
  <c r="X16" i="16"/>
  <c r="X101" i="16"/>
  <c r="X86" i="16"/>
  <c r="X117" i="16"/>
  <c r="X26" i="16"/>
  <c r="X66" i="16"/>
  <c r="X41" i="16"/>
  <c r="X6" i="16"/>
  <c r="X91" i="16"/>
  <c r="X11" i="16"/>
  <c r="X61" i="16"/>
  <c r="X122" i="16"/>
  <c r="X111" i="16"/>
  <c r="X71" i="16"/>
  <c r="X81" i="16"/>
  <c r="X76" i="16"/>
  <c r="X21" i="16"/>
  <c r="X51" i="16"/>
  <c r="K48" i="16"/>
  <c r="M48" i="16"/>
  <c r="K72" i="16"/>
  <c r="M72" i="16"/>
  <c r="N71" i="16" s="1"/>
  <c r="I117" i="16"/>
  <c r="M118" i="16"/>
  <c r="N117" i="16" s="1"/>
  <c r="K22" i="16"/>
  <c r="M22" i="16"/>
  <c r="N21" i="16" s="1"/>
  <c r="I101" i="16"/>
  <c r="S100" i="16" s="1"/>
  <c r="M102" i="16"/>
  <c r="N101" i="16" s="1"/>
  <c r="I41" i="16"/>
  <c r="M42" i="16"/>
  <c r="N41" i="16" s="1"/>
  <c r="K38" i="16"/>
  <c r="M38" i="16"/>
  <c r="N37" i="16" s="1"/>
  <c r="K62" i="16"/>
  <c r="M62" i="16"/>
  <c r="N61" i="16" s="1"/>
  <c r="I81" i="16"/>
  <c r="M82" i="16"/>
  <c r="N81" i="16" s="1"/>
  <c r="K57" i="16"/>
  <c r="M57" i="16"/>
  <c r="N56" i="16" s="1"/>
  <c r="K32" i="16"/>
  <c r="M32" i="16"/>
  <c r="I66" i="16"/>
  <c r="M67" i="16"/>
  <c r="N66" i="16" s="1"/>
  <c r="K27" i="16"/>
  <c r="M27" i="16"/>
  <c r="N26" i="16" s="1"/>
  <c r="N106" i="16"/>
  <c r="N105" i="16"/>
  <c r="N100" i="16"/>
  <c r="N75" i="16"/>
  <c r="N116" i="16"/>
  <c r="N95" i="16"/>
  <c r="N55" i="16"/>
  <c r="N86" i="16"/>
  <c r="N85" i="16"/>
  <c r="N122" i="16"/>
  <c r="N121" i="16"/>
  <c r="N25" i="16"/>
  <c r="N65" i="16"/>
  <c r="N36" i="16"/>
  <c r="N35" i="16"/>
  <c r="I6" i="16"/>
  <c r="N6" i="16"/>
  <c r="I91" i="16"/>
  <c r="M92" i="16"/>
  <c r="K97" i="16"/>
  <c r="M97" i="16"/>
  <c r="N96" i="16" s="1"/>
  <c r="I76" i="16"/>
  <c r="M77" i="16"/>
  <c r="I51" i="16"/>
  <c r="S50" i="16" s="1"/>
  <c r="M52" i="16"/>
  <c r="I16" i="16"/>
  <c r="S15" i="16" s="1"/>
  <c r="K12" i="16"/>
  <c r="I111" i="16"/>
  <c r="M112" i="16"/>
  <c r="K108" i="16"/>
  <c r="M108" i="16"/>
  <c r="N15" i="16"/>
  <c r="N40" i="16"/>
  <c r="N80" i="16"/>
  <c r="N30" i="16"/>
  <c r="N5" i="16"/>
  <c r="DW63" i="16"/>
  <c r="EC63" i="16" s="1"/>
  <c r="DY26" i="16"/>
  <c r="CI63" i="16"/>
  <c r="FA63" i="16"/>
  <c r="FG63" i="16" s="1"/>
  <c r="CS63" i="16"/>
  <c r="CY63" i="16" s="1"/>
  <c r="GO63" i="16"/>
  <c r="GU63" i="16" s="1"/>
  <c r="K92" i="16"/>
  <c r="G63" i="16"/>
  <c r="I62" i="16" s="1"/>
  <c r="DM63" i="16"/>
  <c r="DS63" i="16" s="1"/>
  <c r="C64" i="16"/>
  <c r="GE64" i="16" s="1"/>
  <c r="GK64" i="16" s="1"/>
  <c r="AA63" i="16"/>
  <c r="AG63" i="16" s="1"/>
  <c r="FU63" i="16"/>
  <c r="GA63" i="16" s="1"/>
  <c r="Q63" i="16"/>
  <c r="DC63" i="16"/>
  <c r="DI63" i="16" s="1"/>
  <c r="AK63" i="16"/>
  <c r="AQ63" i="16" s="1"/>
  <c r="BO63" i="16"/>
  <c r="BU63" i="16" s="1"/>
  <c r="EQ63" i="16"/>
  <c r="EW63" i="16" s="1"/>
  <c r="FC106" i="16"/>
  <c r="D62" i="16"/>
  <c r="K67" i="16"/>
  <c r="BE63" i="16"/>
  <c r="BK63" i="16" s="1"/>
  <c r="EG63" i="16"/>
  <c r="EM63" i="16" s="1"/>
  <c r="AU63" i="16"/>
  <c r="BA63" i="16" s="1"/>
  <c r="BY63" i="16"/>
  <c r="CE63" i="16" s="1"/>
  <c r="AM66" i="16"/>
  <c r="BQ26" i="16"/>
  <c r="I26" i="16"/>
  <c r="GQ66" i="16"/>
  <c r="FC66" i="16"/>
  <c r="ES26" i="16"/>
  <c r="BQ66" i="16"/>
  <c r="DE66" i="16"/>
  <c r="AM26" i="16"/>
  <c r="D7" i="16"/>
  <c r="GQ106" i="16"/>
  <c r="K118" i="16"/>
  <c r="CK122" i="16"/>
  <c r="AC66" i="16"/>
  <c r="I11" i="16"/>
  <c r="AW66" i="16"/>
  <c r="K102" i="16"/>
  <c r="EI86" i="16"/>
  <c r="AW26" i="16"/>
  <c r="FM66" i="16"/>
  <c r="BG91" i="16"/>
  <c r="CA26" i="16"/>
  <c r="FC26" i="16"/>
  <c r="DE106" i="16"/>
  <c r="CA66" i="16"/>
  <c r="K42" i="16"/>
  <c r="I31" i="16"/>
  <c r="S30" i="16" s="1"/>
  <c r="AC122" i="16"/>
  <c r="AM106" i="16"/>
  <c r="BQ106" i="16"/>
  <c r="DY66" i="16"/>
  <c r="K82" i="16"/>
  <c r="I71" i="16"/>
  <c r="K7" i="16"/>
  <c r="FW106" i="16"/>
  <c r="GO113" i="16"/>
  <c r="GU113" i="16" s="1"/>
  <c r="FU113" i="16"/>
  <c r="GA113" i="16" s="1"/>
  <c r="FK113" i="16"/>
  <c r="FQ113" i="16" s="1"/>
  <c r="GE113" i="16"/>
  <c r="GK113" i="16" s="1"/>
  <c r="FA113" i="16"/>
  <c r="FG113" i="16" s="1"/>
  <c r="EG113" i="16"/>
  <c r="EM113" i="16" s="1"/>
  <c r="DW113" i="16"/>
  <c r="EC113" i="16" s="1"/>
  <c r="DM113" i="16"/>
  <c r="DS113" i="16" s="1"/>
  <c r="DC113" i="16"/>
  <c r="DI113" i="16" s="1"/>
  <c r="CS113" i="16"/>
  <c r="CY113" i="16" s="1"/>
  <c r="EQ113" i="16"/>
  <c r="EW113" i="16" s="1"/>
  <c r="BE113" i="16"/>
  <c r="BK113" i="16" s="1"/>
  <c r="CI113" i="16"/>
  <c r="CO113" i="16" s="1"/>
  <c r="BO113" i="16"/>
  <c r="BU113" i="16" s="1"/>
  <c r="AU113" i="16"/>
  <c r="BA113" i="16" s="1"/>
  <c r="AK113" i="16"/>
  <c r="AQ113" i="16" s="1"/>
  <c r="Q113" i="16"/>
  <c r="W113" i="16" s="1"/>
  <c r="G113" i="16"/>
  <c r="BY113" i="16"/>
  <c r="CE113" i="16" s="1"/>
  <c r="AA113" i="16"/>
  <c r="AG113" i="16" s="1"/>
  <c r="GO33" i="16"/>
  <c r="GU33" i="16" s="1"/>
  <c r="GE33" i="16"/>
  <c r="GK33" i="16" s="1"/>
  <c r="FU33" i="16"/>
  <c r="GA33" i="16" s="1"/>
  <c r="FK33" i="16"/>
  <c r="FQ33" i="16" s="1"/>
  <c r="FA33" i="16"/>
  <c r="FG33" i="16" s="1"/>
  <c r="EG33" i="16"/>
  <c r="EM33" i="16" s="1"/>
  <c r="DW33" i="16"/>
  <c r="EC33" i="16" s="1"/>
  <c r="DM33" i="16"/>
  <c r="DS33" i="16" s="1"/>
  <c r="DC33" i="16"/>
  <c r="DI33" i="16" s="1"/>
  <c r="CS33" i="16"/>
  <c r="CY33" i="16" s="1"/>
  <c r="AA33" i="16"/>
  <c r="AG33" i="16" s="1"/>
  <c r="EQ33" i="16"/>
  <c r="EW33" i="16" s="1"/>
  <c r="BE33" i="16"/>
  <c r="BK33" i="16" s="1"/>
  <c r="CI33" i="16"/>
  <c r="CO33" i="16" s="1"/>
  <c r="G33" i="16"/>
  <c r="BY33" i="16"/>
  <c r="CE33" i="16" s="1"/>
  <c r="AU33" i="16"/>
  <c r="BA33" i="16" s="1"/>
  <c r="AK33" i="16"/>
  <c r="AQ33" i="16" s="1"/>
  <c r="Q33" i="16"/>
  <c r="W33" i="16" s="1"/>
  <c r="BO33" i="16"/>
  <c r="BU33" i="16" s="1"/>
  <c r="GE78" i="16"/>
  <c r="GK78" i="16" s="1"/>
  <c r="FU78" i="16"/>
  <c r="GA78" i="16" s="1"/>
  <c r="FK78" i="16"/>
  <c r="FQ78" i="16" s="1"/>
  <c r="FA78" i="16"/>
  <c r="FG78" i="16" s="1"/>
  <c r="GO78" i="16"/>
  <c r="GU78" i="16" s="1"/>
  <c r="EG78" i="16"/>
  <c r="EM78" i="16" s="1"/>
  <c r="EQ78" i="16"/>
  <c r="EW78" i="16" s="1"/>
  <c r="CI78" i="16"/>
  <c r="CO78" i="16" s="1"/>
  <c r="AU78" i="16"/>
  <c r="BA78" i="16" s="1"/>
  <c r="AK78" i="16"/>
  <c r="AQ78" i="16" s="1"/>
  <c r="DC78" i="16"/>
  <c r="DI78" i="16" s="1"/>
  <c r="CS78" i="16"/>
  <c r="CY78" i="16" s="1"/>
  <c r="AA78" i="16"/>
  <c r="AG78" i="16" s="1"/>
  <c r="Q78" i="16"/>
  <c r="DW78" i="16"/>
  <c r="EC78" i="16" s="1"/>
  <c r="BE78" i="16"/>
  <c r="BK78" i="16" s="1"/>
  <c r="DM78" i="16"/>
  <c r="DS78" i="16" s="1"/>
  <c r="BY78" i="16"/>
  <c r="CE78" i="16" s="1"/>
  <c r="BO78" i="16"/>
  <c r="BU78" i="16" s="1"/>
  <c r="G78" i="16"/>
  <c r="AW37" i="16"/>
  <c r="AY37" i="16"/>
  <c r="AE37" i="16"/>
  <c r="AC37" i="16"/>
  <c r="FY37" i="16"/>
  <c r="FW37" i="16"/>
  <c r="AC36" i="16"/>
  <c r="CW48" i="16"/>
  <c r="CU48" i="16"/>
  <c r="FO48" i="16"/>
  <c r="FM48" i="16"/>
  <c r="BS7" i="16"/>
  <c r="EU7" i="16"/>
  <c r="FE72" i="16"/>
  <c r="AM91" i="16"/>
  <c r="AO92" i="16"/>
  <c r="CA91" i="16"/>
  <c r="CC92" i="16"/>
  <c r="DY91" i="16"/>
  <c r="EA92" i="16"/>
  <c r="EU97" i="16"/>
  <c r="FO97" i="16"/>
  <c r="CC118" i="16"/>
  <c r="CM118" i="16"/>
  <c r="DG123" i="16"/>
  <c r="BS123" i="16"/>
  <c r="GS123" i="16"/>
  <c r="I106" i="16"/>
  <c r="K107" i="16"/>
  <c r="CW87" i="16"/>
  <c r="FY87" i="16"/>
  <c r="DG77" i="16"/>
  <c r="GS77" i="16"/>
  <c r="BI52" i="16"/>
  <c r="GQ51" i="16"/>
  <c r="GS52" i="16"/>
  <c r="AE22" i="16"/>
  <c r="EK22" i="16"/>
  <c r="AO17" i="16"/>
  <c r="DG17" i="16"/>
  <c r="GS17" i="16"/>
  <c r="CC102" i="16"/>
  <c r="DG102" i="16"/>
  <c r="FY102" i="16"/>
  <c r="CC42" i="16"/>
  <c r="EA42" i="16"/>
  <c r="EA38" i="16"/>
  <c r="EU38" i="16"/>
  <c r="FW101" i="16"/>
  <c r="AM122" i="16"/>
  <c r="EI6" i="16"/>
  <c r="CW62" i="16"/>
  <c r="CM62" i="16"/>
  <c r="AE12" i="16"/>
  <c r="BQ11" i="16"/>
  <c r="BS12" i="16"/>
  <c r="FM11" i="16"/>
  <c r="FO12" i="16"/>
  <c r="CW82" i="16"/>
  <c r="FE82" i="16"/>
  <c r="I61" i="16"/>
  <c r="FM96" i="16"/>
  <c r="BI57" i="16"/>
  <c r="FE57" i="16"/>
  <c r="DG32" i="16"/>
  <c r="DQ32" i="16"/>
  <c r="FE112" i="16"/>
  <c r="DQ112" i="16"/>
  <c r="BI27" i="16"/>
  <c r="EK27" i="16"/>
  <c r="AM49" i="16"/>
  <c r="AO49" i="16"/>
  <c r="AC49" i="16"/>
  <c r="AE49" i="16"/>
  <c r="FW49" i="16"/>
  <c r="FY49" i="16"/>
  <c r="CK107" i="16"/>
  <c r="CM108" i="16"/>
  <c r="DE107" i="16"/>
  <c r="DG108" i="16"/>
  <c r="GO83" i="16"/>
  <c r="GU83" i="16" s="1"/>
  <c r="GE83" i="16"/>
  <c r="GK83" i="16" s="1"/>
  <c r="FU83" i="16"/>
  <c r="GA83" i="16" s="1"/>
  <c r="FK83" i="16"/>
  <c r="FQ83" i="16" s="1"/>
  <c r="FA83" i="16"/>
  <c r="FG83" i="16" s="1"/>
  <c r="EQ83" i="16"/>
  <c r="EW83" i="16" s="1"/>
  <c r="EG83" i="16"/>
  <c r="EM83" i="16" s="1"/>
  <c r="BY83" i="16"/>
  <c r="CE83" i="16" s="1"/>
  <c r="BO83" i="16"/>
  <c r="BU83" i="16" s="1"/>
  <c r="DW83" i="16"/>
  <c r="EC83" i="16" s="1"/>
  <c r="CI83" i="16"/>
  <c r="CO83" i="16" s="1"/>
  <c r="AU83" i="16"/>
  <c r="BA83" i="16" s="1"/>
  <c r="AK83" i="16"/>
  <c r="AQ83" i="16" s="1"/>
  <c r="CS83" i="16"/>
  <c r="CY83" i="16" s="1"/>
  <c r="BE83" i="16"/>
  <c r="BK83" i="16" s="1"/>
  <c r="G83" i="16"/>
  <c r="DM83" i="16"/>
  <c r="DS83" i="16" s="1"/>
  <c r="DC83" i="16"/>
  <c r="DI83" i="16" s="1"/>
  <c r="AA83" i="16"/>
  <c r="AG83" i="16" s="1"/>
  <c r="Q83" i="16"/>
  <c r="W83" i="16" s="1"/>
  <c r="GO9" i="16"/>
  <c r="GE9" i="16"/>
  <c r="FU9" i="16"/>
  <c r="FK9" i="16"/>
  <c r="FA9" i="16"/>
  <c r="EG9" i="16"/>
  <c r="DW9" i="16"/>
  <c r="DM9" i="16"/>
  <c r="DC9" i="16"/>
  <c r="CS9" i="16"/>
  <c r="AA9" i="16"/>
  <c r="EQ9" i="16"/>
  <c r="BE9" i="16"/>
  <c r="CI9" i="16"/>
  <c r="G9" i="16"/>
  <c r="M9" i="16" s="1"/>
  <c r="BY9" i="16"/>
  <c r="AU9" i="16"/>
  <c r="AK9" i="16"/>
  <c r="Q9" i="16"/>
  <c r="BO9" i="16"/>
  <c r="FC81" i="16"/>
  <c r="CA37" i="16"/>
  <c r="CC37" i="16"/>
  <c r="EI37" i="16"/>
  <c r="EK37" i="16"/>
  <c r="CC48" i="16"/>
  <c r="CA48" i="16"/>
  <c r="GS48" i="16"/>
  <c r="GQ48" i="16"/>
  <c r="AE7" i="16"/>
  <c r="GS7" i="16"/>
  <c r="CC72" i="16"/>
  <c r="GI72" i="16"/>
  <c r="EK92" i="16"/>
  <c r="FW91" i="16"/>
  <c r="FY92" i="16"/>
  <c r="CC97" i="16"/>
  <c r="EK97" i="16"/>
  <c r="DG118" i="16"/>
  <c r="GS118" i="16"/>
  <c r="EK107" i="16"/>
  <c r="EI107" i="16"/>
  <c r="EA87" i="16"/>
  <c r="BS87" i="16"/>
  <c r="AO77" i="16"/>
  <c r="BI77" i="16"/>
  <c r="FE77" i="16"/>
  <c r="AE52" i="16"/>
  <c r="BQ51" i="16"/>
  <c r="BS52" i="16"/>
  <c r="FM51" i="16"/>
  <c r="FO52" i="16"/>
  <c r="BI22" i="16"/>
  <c r="CW22" i="16"/>
  <c r="CM22" i="16"/>
  <c r="BS17" i="16"/>
  <c r="AY17" i="16"/>
  <c r="FO17" i="16"/>
  <c r="AE102" i="16"/>
  <c r="EK102" i="16"/>
  <c r="AO42" i="16"/>
  <c r="GI42" i="16"/>
  <c r="BS38" i="16"/>
  <c r="AO38" i="16"/>
  <c r="EK38" i="16"/>
  <c r="CA41" i="16"/>
  <c r="FC56" i="16"/>
  <c r="CU81" i="16"/>
  <c r="EI101" i="16"/>
  <c r="EI26" i="16"/>
  <c r="AC51" i="16"/>
  <c r="EA62" i="16"/>
  <c r="GS62" i="16"/>
  <c r="AM11" i="16"/>
  <c r="AO12" i="16"/>
  <c r="CA11" i="16"/>
  <c r="CC12" i="16"/>
  <c r="FW11" i="16"/>
  <c r="FY12" i="16"/>
  <c r="DG82" i="16"/>
  <c r="FY82" i="16"/>
  <c r="AM76" i="16"/>
  <c r="BS57" i="16"/>
  <c r="AY57" i="16"/>
  <c r="EU57" i="16"/>
  <c r="FO57" i="16"/>
  <c r="CM32" i="16"/>
  <c r="EI31" i="16"/>
  <c r="EK32" i="16"/>
  <c r="AO32" i="16"/>
  <c r="CC32" i="16"/>
  <c r="EA32" i="16"/>
  <c r="DG112" i="16"/>
  <c r="CM112" i="16"/>
  <c r="AO112" i="16"/>
  <c r="BI112" i="16"/>
  <c r="EA112" i="16"/>
  <c r="CK106" i="16"/>
  <c r="GQ61" i="16"/>
  <c r="CU86" i="16"/>
  <c r="CW67" i="16"/>
  <c r="CW27" i="16"/>
  <c r="AW49" i="16"/>
  <c r="AY49" i="16"/>
  <c r="CM49" i="16"/>
  <c r="CK49" i="16"/>
  <c r="CU49" i="16"/>
  <c r="CW49" i="16"/>
  <c r="EK49" i="16"/>
  <c r="EI49" i="16"/>
  <c r="GI49" i="16"/>
  <c r="GG49" i="16"/>
  <c r="AC107" i="16"/>
  <c r="AE108" i="16"/>
  <c r="CW108" i="16"/>
  <c r="BQ107" i="16"/>
  <c r="BS108" i="16"/>
  <c r="ES107" i="16"/>
  <c r="EU108" i="16"/>
  <c r="FM107" i="16"/>
  <c r="FO108" i="16"/>
  <c r="I107" i="16"/>
  <c r="K77" i="16"/>
  <c r="I47" i="16"/>
  <c r="GO28" i="16"/>
  <c r="GU28" i="16" s="1"/>
  <c r="GE28" i="16"/>
  <c r="GK28" i="16" s="1"/>
  <c r="FU28" i="16"/>
  <c r="GA28" i="16" s="1"/>
  <c r="DW28" i="16"/>
  <c r="EC28" i="16" s="1"/>
  <c r="DM28" i="16"/>
  <c r="DS28" i="16" s="1"/>
  <c r="FA28" i="16"/>
  <c r="FG28" i="16" s="1"/>
  <c r="EQ28" i="16"/>
  <c r="EW28" i="16" s="1"/>
  <c r="BE28" i="16"/>
  <c r="FK28" i="16"/>
  <c r="FQ28" i="16" s="1"/>
  <c r="EG28" i="16"/>
  <c r="EM28" i="16" s="1"/>
  <c r="BY28" i="16"/>
  <c r="CE28" i="16" s="1"/>
  <c r="BO28" i="16"/>
  <c r="BU28" i="16" s="1"/>
  <c r="DC28" i="16"/>
  <c r="DI28" i="16" s="1"/>
  <c r="Q28" i="16"/>
  <c r="W28" i="16" s="1"/>
  <c r="AU28" i="16"/>
  <c r="BA28" i="16" s="1"/>
  <c r="AK28" i="16"/>
  <c r="AQ28" i="16" s="1"/>
  <c r="CS28" i="16"/>
  <c r="CY28" i="16" s="1"/>
  <c r="CI28" i="16"/>
  <c r="CO28" i="16" s="1"/>
  <c r="G28" i="16"/>
  <c r="AA28" i="16"/>
  <c r="AG28" i="16" s="1"/>
  <c r="GE119" i="16"/>
  <c r="GK119" i="16" s="1"/>
  <c r="GO119" i="16"/>
  <c r="FK119" i="16"/>
  <c r="FQ119" i="16" s="1"/>
  <c r="EQ119" i="16"/>
  <c r="EW119" i="16" s="1"/>
  <c r="FU119" i="16"/>
  <c r="GA119" i="16" s="1"/>
  <c r="DM119" i="16"/>
  <c r="BY119" i="16"/>
  <c r="CE119" i="16" s="1"/>
  <c r="BO119" i="16"/>
  <c r="CI119" i="16"/>
  <c r="AU119" i="16"/>
  <c r="AK119" i="16"/>
  <c r="AQ119" i="16" s="1"/>
  <c r="DW119" i="16"/>
  <c r="EC119" i="16" s="1"/>
  <c r="G119" i="16"/>
  <c r="CS119" i="16"/>
  <c r="BE119" i="16"/>
  <c r="BK119" i="16" s="1"/>
  <c r="DC119" i="16"/>
  <c r="DI119" i="16" s="1"/>
  <c r="AA119" i="16"/>
  <c r="AG119" i="16" s="1"/>
  <c r="FA119" i="16"/>
  <c r="FG119" i="16" s="1"/>
  <c r="EG119" i="16"/>
  <c r="EM119" i="16" s="1"/>
  <c r="Q119" i="16"/>
  <c r="GO73" i="16"/>
  <c r="GU73" i="16" s="1"/>
  <c r="FU73" i="16"/>
  <c r="GA73" i="16" s="1"/>
  <c r="FK73" i="16"/>
  <c r="FQ73" i="16" s="1"/>
  <c r="GE73" i="16"/>
  <c r="GK73" i="16" s="1"/>
  <c r="FA73" i="16"/>
  <c r="FG73" i="16" s="1"/>
  <c r="EG73" i="16"/>
  <c r="EM73" i="16" s="1"/>
  <c r="DW73" i="16"/>
  <c r="EC73" i="16" s="1"/>
  <c r="DM73" i="16"/>
  <c r="DS73" i="16" s="1"/>
  <c r="DC73" i="16"/>
  <c r="DI73" i="16" s="1"/>
  <c r="CS73" i="16"/>
  <c r="CY73" i="16" s="1"/>
  <c r="AA73" i="16"/>
  <c r="AG73" i="16" s="1"/>
  <c r="EQ73" i="16"/>
  <c r="EW73" i="16" s="1"/>
  <c r="BE73" i="16"/>
  <c r="BK73" i="16" s="1"/>
  <c r="CI73" i="16"/>
  <c r="CO73" i="16" s="1"/>
  <c r="G73" i="16"/>
  <c r="AU73" i="16"/>
  <c r="BA73" i="16" s="1"/>
  <c r="AK73" i="16"/>
  <c r="AQ73" i="16" s="1"/>
  <c r="Q73" i="16"/>
  <c r="W73" i="16" s="1"/>
  <c r="BY73" i="16"/>
  <c r="CE73" i="16" s="1"/>
  <c r="BO73" i="16"/>
  <c r="BU73" i="16" s="1"/>
  <c r="GO13" i="16"/>
  <c r="GU13" i="16" s="1"/>
  <c r="GE13" i="16"/>
  <c r="GK13" i="16" s="1"/>
  <c r="FU13" i="16"/>
  <c r="GA13" i="16" s="1"/>
  <c r="FK13" i="16"/>
  <c r="FQ13" i="16" s="1"/>
  <c r="FA13" i="16"/>
  <c r="FG13" i="16" s="1"/>
  <c r="EG13" i="16"/>
  <c r="EM13" i="16" s="1"/>
  <c r="DW13" i="16"/>
  <c r="EC13" i="16" s="1"/>
  <c r="DM13" i="16"/>
  <c r="DS13" i="16" s="1"/>
  <c r="DC13" i="16"/>
  <c r="DI13" i="16" s="1"/>
  <c r="CS13" i="16"/>
  <c r="CY13" i="16" s="1"/>
  <c r="AA13" i="16"/>
  <c r="AG13" i="16" s="1"/>
  <c r="BE13" i="16"/>
  <c r="BK13" i="16" s="1"/>
  <c r="BY13" i="16"/>
  <c r="CE13" i="16" s="1"/>
  <c r="BO13" i="16"/>
  <c r="BU13" i="16" s="1"/>
  <c r="Q13" i="16"/>
  <c r="W13" i="16" s="1"/>
  <c r="CI13" i="16"/>
  <c r="CO13" i="16" s="1"/>
  <c r="G13" i="16"/>
  <c r="M13" i="16" s="1"/>
  <c r="EQ13" i="16"/>
  <c r="EW13" i="16" s="1"/>
  <c r="AU13" i="16"/>
  <c r="BA13" i="16" s="1"/>
  <c r="AK13" i="16"/>
  <c r="AQ13" i="16" s="1"/>
  <c r="CK31" i="16"/>
  <c r="ES96" i="16"/>
  <c r="DE111" i="16"/>
  <c r="FM56" i="16"/>
  <c r="DE101" i="16"/>
  <c r="FC122" i="16"/>
  <c r="DE76" i="16"/>
  <c r="GQ117" i="16"/>
  <c r="DE117" i="16"/>
  <c r="AC6" i="16"/>
  <c r="CK21" i="16"/>
  <c r="GQ26" i="16"/>
  <c r="CU26" i="16"/>
  <c r="CU66" i="16"/>
  <c r="CM37" i="16"/>
  <c r="CK37" i="16"/>
  <c r="ES37" i="16"/>
  <c r="EU37" i="16"/>
  <c r="DE37" i="16"/>
  <c r="DG37" i="16"/>
  <c r="FC37" i="16"/>
  <c r="FE37" i="16"/>
  <c r="GS37" i="16"/>
  <c r="GQ37" i="16"/>
  <c r="ES36" i="16"/>
  <c r="CM48" i="16"/>
  <c r="CK48" i="16"/>
  <c r="AE48" i="16"/>
  <c r="AC48" i="16"/>
  <c r="AO48" i="16"/>
  <c r="AM48" i="16"/>
  <c r="BI48" i="16"/>
  <c r="BG48" i="16"/>
  <c r="EA48" i="16"/>
  <c r="DY48" i="16"/>
  <c r="DG7" i="16"/>
  <c r="EA7" i="16"/>
  <c r="CM7" i="16"/>
  <c r="DQ7" i="16"/>
  <c r="GI7" i="16"/>
  <c r="AE72" i="16"/>
  <c r="AY72" i="16"/>
  <c r="FY72" i="16"/>
  <c r="DQ72" i="16"/>
  <c r="GS72" i="16"/>
  <c r="DE91" i="16"/>
  <c r="DG92" i="16"/>
  <c r="FM91" i="16"/>
  <c r="FO92" i="16"/>
  <c r="GG91" i="16"/>
  <c r="GI92" i="16"/>
  <c r="GQ91" i="16"/>
  <c r="GS92" i="16"/>
  <c r="AO97" i="16"/>
  <c r="CM97" i="16"/>
  <c r="DG97" i="16"/>
  <c r="FE97" i="16"/>
  <c r="GS97" i="16"/>
  <c r="DQ118" i="16"/>
  <c r="AO118" i="16"/>
  <c r="EK118" i="16"/>
  <c r="GI118" i="16"/>
  <c r="FO63" i="16"/>
  <c r="BI123" i="16"/>
  <c r="EK123" i="16"/>
  <c r="CA96" i="16"/>
  <c r="CW107" i="16"/>
  <c r="CU107" i="16"/>
  <c r="CK111" i="16"/>
  <c r="CA101" i="16"/>
  <c r="BQ122" i="16"/>
  <c r="AM117" i="16"/>
  <c r="FW66" i="16"/>
  <c r="AE87" i="16"/>
  <c r="AO87" i="16"/>
  <c r="CC87" i="16"/>
  <c r="FO87" i="16"/>
  <c r="AY77" i="16"/>
  <c r="AE77" i="16"/>
  <c r="EA77" i="16"/>
  <c r="FO77" i="16"/>
  <c r="AM51" i="16"/>
  <c r="AO52" i="16"/>
  <c r="CW52" i="16"/>
  <c r="CA51" i="16"/>
  <c r="CC52" i="16"/>
  <c r="FC51" i="16"/>
  <c r="FE52" i="16"/>
  <c r="FW51" i="16"/>
  <c r="FY52" i="16"/>
  <c r="EA22" i="16"/>
  <c r="DG22" i="16"/>
  <c r="EU22" i="16"/>
  <c r="FY22" i="16"/>
  <c r="CC17" i="16"/>
  <c r="AE17" i="16"/>
  <c r="EA17" i="16"/>
  <c r="FY17" i="16"/>
  <c r="DY31" i="16"/>
  <c r="EI96" i="16"/>
  <c r="EA102" i="16"/>
  <c r="DQ102" i="16"/>
  <c r="AY102" i="16"/>
  <c r="FO102" i="16"/>
  <c r="GI102" i="16"/>
  <c r="EU42" i="16"/>
  <c r="CW42" i="16"/>
  <c r="AY42" i="16"/>
  <c r="FE42" i="16"/>
  <c r="GS42" i="16"/>
  <c r="CC38" i="16"/>
  <c r="AE38" i="16"/>
  <c r="AY38" i="16"/>
  <c r="FO38" i="16"/>
  <c r="GI38" i="16"/>
  <c r="GG106" i="16"/>
  <c r="EI106" i="16"/>
  <c r="ES106" i="16"/>
  <c r="FC111" i="16"/>
  <c r="DY41" i="16"/>
  <c r="FM47" i="16"/>
  <c r="FW81" i="16"/>
  <c r="BG86" i="16"/>
  <c r="EI122" i="16"/>
  <c r="AW76" i="16"/>
  <c r="DO6" i="16"/>
  <c r="FW26" i="16"/>
  <c r="GQ36" i="16"/>
  <c r="CC62" i="16"/>
  <c r="AO62" i="16"/>
  <c r="EK62" i="16"/>
  <c r="FY62" i="16"/>
  <c r="AW11" i="16"/>
  <c r="AY12" i="16"/>
  <c r="EK12" i="16"/>
  <c r="DO11" i="16"/>
  <c r="DQ12" i="16"/>
  <c r="GI12" i="16"/>
  <c r="FO82" i="16"/>
  <c r="EU82" i="16"/>
  <c r="DQ82" i="16"/>
  <c r="EA82" i="16"/>
  <c r="GI82" i="16"/>
  <c r="DY106" i="16"/>
  <c r="DO106" i="16"/>
  <c r="DE31" i="16"/>
  <c r="DO111" i="16"/>
  <c r="FW71" i="16"/>
  <c r="CK61" i="16"/>
  <c r="GQ47" i="16"/>
  <c r="FM101" i="16"/>
  <c r="DY86" i="16"/>
  <c r="FW122" i="16"/>
  <c r="DO26" i="16"/>
  <c r="ES66" i="16"/>
  <c r="AW36" i="16"/>
  <c r="CC57" i="16"/>
  <c r="AE57" i="16"/>
  <c r="EA57" i="16"/>
  <c r="FY57" i="16"/>
  <c r="CW32" i="16"/>
  <c r="AY32" i="16"/>
  <c r="BG31" i="16"/>
  <c r="BI32" i="16"/>
  <c r="FY32" i="16"/>
  <c r="EI111" i="16"/>
  <c r="EK112" i="16"/>
  <c r="CW112" i="16"/>
  <c r="AY112" i="16"/>
  <c r="EU112" i="16"/>
  <c r="FY112" i="16"/>
  <c r="FM106" i="16"/>
  <c r="GQ96" i="16"/>
  <c r="CA16" i="16"/>
  <c r="AW111" i="16"/>
  <c r="AM41" i="16"/>
  <c r="DO101" i="16"/>
  <c r="DE122" i="16"/>
  <c r="BG6" i="16"/>
  <c r="BG21" i="16"/>
  <c r="CK66" i="16"/>
  <c r="FC36" i="16"/>
  <c r="AE27" i="16"/>
  <c r="GI27" i="16"/>
  <c r="BS49" i="16"/>
  <c r="BQ49" i="16"/>
  <c r="BI49" i="16"/>
  <c r="BG49" i="16"/>
  <c r="DE49" i="16"/>
  <c r="DG49" i="16"/>
  <c r="FE49" i="16"/>
  <c r="FC49" i="16"/>
  <c r="GQ49" i="16"/>
  <c r="GS49" i="16"/>
  <c r="AM107" i="16"/>
  <c r="AO108" i="16"/>
  <c r="AW107" i="16"/>
  <c r="AY108" i="16"/>
  <c r="CA107" i="16"/>
  <c r="CC108" i="16"/>
  <c r="FC107" i="16"/>
  <c r="FE108" i="16"/>
  <c r="FW107" i="16"/>
  <c r="FY108" i="16"/>
  <c r="GO18" i="16"/>
  <c r="GU18" i="16" s="1"/>
  <c r="GE18" i="16"/>
  <c r="GK18" i="16" s="1"/>
  <c r="FU18" i="16"/>
  <c r="GA18" i="16" s="1"/>
  <c r="FA18" i="16"/>
  <c r="FG18" i="16" s="1"/>
  <c r="EG18" i="16"/>
  <c r="EM18" i="16" s="1"/>
  <c r="DW18" i="16"/>
  <c r="EC18" i="16" s="1"/>
  <c r="CI18" i="16"/>
  <c r="CO18" i="16" s="1"/>
  <c r="AU18" i="16"/>
  <c r="BA18" i="16" s="1"/>
  <c r="AK18" i="16"/>
  <c r="AQ18" i="16" s="1"/>
  <c r="DM18" i="16"/>
  <c r="DC18" i="16"/>
  <c r="DI18" i="16" s="1"/>
  <c r="CS18" i="16"/>
  <c r="CY18" i="16" s="1"/>
  <c r="AA18" i="16"/>
  <c r="AG18" i="16" s="1"/>
  <c r="EQ18" i="16"/>
  <c r="EW18" i="16" s="1"/>
  <c r="BY18" i="16"/>
  <c r="CE18" i="16" s="1"/>
  <c r="BO18" i="16"/>
  <c r="Q18" i="16"/>
  <c r="W18" i="16" s="1"/>
  <c r="FK18" i="16"/>
  <c r="FQ18" i="16" s="1"/>
  <c r="BE18" i="16"/>
  <c r="BK18" i="16" s="1"/>
  <c r="G18" i="16"/>
  <c r="M18" i="16" s="1"/>
  <c r="GE59" i="16"/>
  <c r="GO59" i="16"/>
  <c r="FU59" i="16"/>
  <c r="FA59" i="16"/>
  <c r="EQ59" i="16"/>
  <c r="FK59" i="16"/>
  <c r="EG59" i="16"/>
  <c r="BY59" i="16"/>
  <c r="BO59" i="16"/>
  <c r="DW59" i="16"/>
  <c r="CI59" i="16"/>
  <c r="AU59" i="16"/>
  <c r="AK59" i="16"/>
  <c r="CS59" i="16"/>
  <c r="BE59" i="16"/>
  <c r="G59" i="16"/>
  <c r="AA59" i="16"/>
  <c r="DM59" i="16"/>
  <c r="DC59" i="16"/>
  <c r="Q59" i="16"/>
  <c r="GO93" i="16"/>
  <c r="GU93" i="16" s="1"/>
  <c r="FU93" i="16"/>
  <c r="FK93" i="16"/>
  <c r="FQ93" i="16" s="1"/>
  <c r="FA93" i="16"/>
  <c r="FG93" i="16" s="1"/>
  <c r="EG93" i="16"/>
  <c r="EM93" i="16" s="1"/>
  <c r="DW93" i="16"/>
  <c r="EC93" i="16" s="1"/>
  <c r="DM93" i="16"/>
  <c r="DS93" i="16" s="1"/>
  <c r="DC93" i="16"/>
  <c r="DI93" i="16" s="1"/>
  <c r="CS93" i="16"/>
  <c r="CY93" i="16" s="1"/>
  <c r="GE93" i="16"/>
  <c r="GK93" i="16" s="1"/>
  <c r="BE93" i="16"/>
  <c r="BK93" i="16" s="1"/>
  <c r="BY93" i="16"/>
  <c r="CE93" i="16" s="1"/>
  <c r="BO93" i="16"/>
  <c r="BU93" i="16" s="1"/>
  <c r="Q93" i="16"/>
  <c r="CI93" i="16"/>
  <c r="CO93" i="16" s="1"/>
  <c r="G93" i="16"/>
  <c r="EQ93" i="16"/>
  <c r="EW93" i="16" s="1"/>
  <c r="AA93" i="16"/>
  <c r="AG93" i="16" s="1"/>
  <c r="AU93" i="16"/>
  <c r="BA93" i="16" s="1"/>
  <c r="AK93" i="16"/>
  <c r="AQ93" i="16" s="1"/>
  <c r="GO53" i="16"/>
  <c r="GU53" i="16" s="1"/>
  <c r="GE53" i="16"/>
  <c r="GK53" i="16" s="1"/>
  <c r="FU53" i="16"/>
  <c r="GA53" i="16" s="1"/>
  <c r="FK53" i="16"/>
  <c r="FA53" i="16"/>
  <c r="FG53" i="16" s="1"/>
  <c r="EG53" i="16"/>
  <c r="EM53" i="16" s="1"/>
  <c r="DW53" i="16"/>
  <c r="EC53" i="16" s="1"/>
  <c r="DM53" i="16"/>
  <c r="DS53" i="16" s="1"/>
  <c r="DC53" i="16"/>
  <c r="DI53" i="16" s="1"/>
  <c r="CS53" i="16"/>
  <c r="CY53" i="16" s="1"/>
  <c r="AA53" i="16"/>
  <c r="AG53" i="16" s="1"/>
  <c r="BE53" i="16"/>
  <c r="BK53" i="16" s="1"/>
  <c r="EQ53" i="16"/>
  <c r="EW53" i="16" s="1"/>
  <c r="BY53" i="16"/>
  <c r="CE53" i="16" s="1"/>
  <c r="BO53" i="16"/>
  <c r="BU53" i="16" s="1"/>
  <c r="Q53" i="16"/>
  <c r="CI53" i="16"/>
  <c r="CO53" i="16" s="1"/>
  <c r="G53" i="16"/>
  <c r="AU53" i="16"/>
  <c r="BA53" i="16" s="1"/>
  <c r="AK53" i="16"/>
  <c r="AQ53" i="16" s="1"/>
  <c r="GO98" i="16"/>
  <c r="GU98" i="16" s="1"/>
  <c r="GE98" i="16"/>
  <c r="GK98" i="16" s="1"/>
  <c r="FU98" i="16"/>
  <c r="GA98" i="16" s="1"/>
  <c r="FA98" i="16"/>
  <c r="FG98" i="16" s="1"/>
  <c r="FK98" i="16"/>
  <c r="FQ98" i="16" s="1"/>
  <c r="EG98" i="16"/>
  <c r="EM98" i="16" s="1"/>
  <c r="DW98" i="16"/>
  <c r="EC98" i="16" s="1"/>
  <c r="CI98" i="16"/>
  <c r="CO98" i="16" s="1"/>
  <c r="AU98" i="16"/>
  <c r="BA98" i="16" s="1"/>
  <c r="AK98" i="16"/>
  <c r="AQ98" i="16" s="1"/>
  <c r="DM98" i="16"/>
  <c r="DS98" i="16" s="1"/>
  <c r="DC98" i="16"/>
  <c r="DI98" i="16" s="1"/>
  <c r="CS98" i="16"/>
  <c r="CY98" i="16" s="1"/>
  <c r="EQ98" i="16"/>
  <c r="EW98" i="16" s="1"/>
  <c r="BY98" i="16"/>
  <c r="CE98" i="16" s="1"/>
  <c r="BO98" i="16"/>
  <c r="BU98" i="16" s="1"/>
  <c r="AA98" i="16"/>
  <c r="AG98" i="16" s="1"/>
  <c r="Q98" i="16"/>
  <c r="W98" i="16" s="1"/>
  <c r="BE98" i="16"/>
  <c r="BK98" i="16" s="1"/>
  <c r="G98" i="16"/>
  <c r="BQ37" i="16"/>
  <c r="BS37" i="16"/>
  <c r="EA37" i="16"/>
  <c r="DY37" i="16"/>
  <c r="EI47" i="16"/>
  <c r="EK48" i="16"/>
  <c r="EI48" i="16"/>
  <c r="BS48" i="16"/>
  <c r="BQ48" i="16"/>
  <c r="GI48" i="16"/>
  <c r="GG48" i="16"/>
  <c r="AO7" i="16"/>
  <c r="DG72" i="16"/>
  <c r="BS72" i="16"/>
  <c r="FO72" i="16"/>
  <c r="CW92" i="16"/>
  <c r="ES91" i="16"/>
  <c r="EU92" i="16"/>
  <c r="BS97" i="16"/>
  <c r="EA97" i="16"/>
  <c r="EA118" i="16"/>
  <c r="CW118" i="16"/>
  <c r="FY118" i="16"/>
  <c r="EU123" i="16"/>
  <c r="CM87" i="16"/>
  <c r="GI87" i="16"/>
  <c r="CC77" i="16"/>
  <c r="GI77" i="16"/>
  <c r="DE51" i="16"/>
  <c r="DG52" i="16"/>
  <c r="DY51" i="16"/>
  <c r="EA52" i="16"/>
  <c r="CC22" i="16"/>
  <c r="AY22" i="16"/>
  <c r="GI22" i="16"/>
  <c r="BI17" i="16"/>
  <c r="FE17" i="16"/>
  <c r="BS102" i="16"/>
  <c r="EU102" i="16"/>
  <c r="BI42" i="16"/>
  <c r="DQ42" i="16"/>
  <c r="FY42" i="16"/>
  <c r="DG38" i="16"/>
  <c r="FY38" i="16"/>
  <c r="CA106" i="16"/>
  <c r="BI62" i="16"/>
  <c r="FM62" i="16"/>
  <c r="FO62" i="16"/>
  <c r="CM12" i="16"/>
  <c r="ES11" i="16"/>
  <c r="EU12" i="16"/>
  <c r="BS82" i="16"/>
  <c r="AY82" i="16"/>
  <c r="FC71" i="16"/>
  <c r="ES6" i="16"/>
  <c r="BG51" i="16"/>
  <c r="FW36" i="16"/>
  <c r="AO57" i="16"/>
  <c r="DG57" i="16"/>
  <c r="GS57" i="16"/>
  <c r="BS32" i="16"/>
  <c r="GS32" i="16"/>
  <c r="CC112" i="16"/>
  <c r="GS112" i="16"/>
  <c r="BI67" i="16"/>
  <c r="EK67" i="16"/>
  <c r="CM27" i="16"/>
  <c r="DY49" i="16"/>
  <c r="EA49" i="16"/>
  <c r="GG107" i="16"/>
  <c r="GI108" i="16"/>
  <c r="DY107" i="16"/>
  <c r="EA108" i="16"/>
  <c r="C99" i="16"/>
  <c r="D99" i="16" s="1"/>
  <c r="GO68" i="16"/>
  <c r="GU68" i="16" s="1"/>
  <c r="GE68" i="16"/>
  <c r="GK68" i="16" s="1"/>
  <c r="FU68" i="16"/>
  <c r="GA68" i="16" s="1"/>
  <c r="FK68" i="16"/>
  <c r="FQ68" i="16" s="1"/>
  <c r="DW68" i="16"/>
  <c r="EC68" i="16" s="1"/>
  <c r="DM68" i="16"/>
  <c r="DS68" i="16" s="1"/>
  <c r="FA68" i="16"/>
  <c r="FG68" i="16" s="1"/>
  <c r="EQ68" i="16"/>
  <c r="EW68" i="16" s="1"/>
  <c r="BE68" i="16"/>
  <c r="BK68" i="16" s="1"/>
  <c r="EG68" i="16"/>
  <c r="EM68" i="16" s="1"/>
  <c r="BY68" i="16"/>
  <c r="CE68" i="16" s="1"/>
  <c r="BO68" i="16"/>
  <c r="BU68" i="16" s="1"/>
  <c r="DC68" i="16"/>
  <c r="DI68" i="16" s="1"/>
  <c r="Q68" i="16"/>
  <c r="AU68" i="16"/>
  <c r="BA68" i="16" s="1"/>
  <c r="AK68" i="16"/>
  <c r="AQ68" i="16" s="1"/>
  <c r="CS68" i="16"/>
  <c r="CY68" i="16" s="1"/>
  <c r="CI68" i="16"/>
  <c r="CO68" i="16" s="1"/>
  <c r="G68" i="16"/>
  <c r="AA68" i="16"/>
  <c r="AG68" i="16" s="1"/>
  <c r="GE103" i="16"/>
  <c r="GK103" i="16" s="1"/>
  <c r="GO103" i="16"/>
  <c r="GU103" i="16" s="1"/>
  <c r="EQ103" i="16"/>
  <c r="EW103" i="16" s="1"/>
  <c r="FU103" i="16"/>
  <c r="GA103" i="16" s="1"/>
  <c r="DM103" i="16"/>
  <c r="DS103" i="16" s="1"/>
  <c r="BY103" i="16"/>
  <c r="CE103" i="16" s="1"/>
  <c r="BO103" i="16"/>
  <c r="BU103" i="16" s="1"/>
  <c r="CI103" i="16"/>
  <c r="CO103" i="16" s="1"/>
  <c r="AU103" i="16"/>
  <c r="BA103" i="16" s="1"/>
  <c r="AK103" i="16"/>
  <c r="AQ103" i="16" s="1"/>
  <c r="FA103" i="16"/>
  <c r="FG103" i="16" s="1"/>
  <c r="DW103" i="16"/>
  <c r="EC103" i="16" s="1"/>
  <c r="G103" i="16"/>
  <c r="DC103" i="16"/>
  <c r="DI103" i="16" s="1"/>
  <c r="AA103" i="16"/>
  <c r="AG103" i="16" s="1"/>
  <c r="CS103" i="16"/>
  <c r="CY103" i="16" s="1"/>
  <c r="BE103" i="16"/>
  <c r="BK103" i="16" s="1"/>
  <c r="FK103" i="16"/>
  <c r="FQ103" i="16" s="1"/>
  <c r="EG103" i="16"/>
  <c r="EM103" i="16" s="1"/>
  <c r="Q103" i="16"/>
  <c r="GO88" i="16"/>
  <c r="GU88" i="16" s="1"/>
  <c r="GE88" i="16"/>
  <c r="GK88" i="16" s="1"/>
  <c r="FK88" i="16"/>
  <c r="FQ88" i="16" s="1"/>
  <c r="DW88" i="16"/>
  <c r="EC88" i="16" s="1"/>
  <c r="DM88" i="16"/>
  <c r="DS88" i="16" s="1"/>
  <c r="EQ88" i="16"/>
  <c r="EW88" i="16" s="1"/>
  <c r="FA88" i="16"/>
  <c r="FG88" i="16" s="1"/>
  <c r="BE88" i="16"/>
  <c r="BK88" i="16" s="1"/>
  <c r="BY88" i="16"/>
  <c r="CE88" i="16" s="1"/>
  <c r="BO88" i="16"/>
  <c r="BU88" i="16" s="1"/>
  <c r="EG88" i="16"/>
  <c r="EM88" i="16" s="1"/>
  <c r="AU88" i="16"/>
  <c r="BA88" i="16" s="1"/>
  <c r="AK88" i="16"/>
  <c r="AQ88" i="16" s="1"/>
  <c r="Q88" i="16"/>
  <c r="W88" i="16" s="1"/>
  <c r="AA88" i="16"/>
  <c r="AG88" i="16" s="1"/>
  <c r="CS88" i="16"/>
  <c r="CY88" i="16" s="1"/>
  <c r="G88" i="16"/>
  <c r="M88" i="16" s="1"/>
  <c r="N87" i="16" s="1"/>
  <c r="FU88" i="16"/>
  <c r="GA88" i="16" s="1"/>
  <c r="DC88" i="16"/>
  <c r="DI88" i="16" s="1"/>
  <c r="CI88" i="16"/>
  <c r="CO88" i="16" s="1"/>
  <c r="DO31" i="16"/>
  <c r="CU61" i="16"/>
  <c r="CU47" i="16"/>
  <c r="GQ76" i="16"/>
  <c r="BQ6" i="16"/>
  <c r="I36" i="16"/>
  <c r="K37" i="16"/>
  <c r="CW37" i="16"/>
  <c r="CU37" i="16"/>
  <c r="GG37" i="16"/>
  <c r="GI37" i="16"/>
  <c r="BQ36" i="16"/>
  <c r="DQ48" i="16"/>
  <c r="DO48" i="16"/>
  <c r="AY7" i="16"/>
  <c r="CC7" i="16"/>
  <c r="AO72" i="16"/>
  <c r="EU72" i="16"/>
  <c r="AW91" i="16"/>
  <c r="AY92" i="16"/>
  <c r="FC91" i="16"/>
  <c r="FE92" i="16"/>
  <c r="CW97" i="16"/>
  <c r="FY97" i="16"/>
  <c r="AE118" i="16"/>
  <c r="EU118" i="16"/>
  <c r="AY123" i="16"/>
  <c r="BG107" i="16"/>
  <c r="BI107" i="16"/>
  <c r="BG16" i="16"/>
  <c r="DE71" i="16"/>
  <c r="FM61" i="16"/>
  <c r="EI91" i="16"/>
  <c r="DO66" i="16"/>
  <c r="FE87" i="16"/>
  <c r="EU87" i="16"/>
  <c r="CM77" i="16"/>
  <c r="DQ77" i="16"/>
  <c r="CM52" i="16"/>
  <c r="ES51" i="16"/>
  <c r="EU52" i="16"/>
  <c r="FE22" i="16"/>
  <c r="EU17" i="16"/>
  <c r="DQ17" i="16"/>
  <c r="CA111" i="16"/>
  <c r="CK86" i="16"/>
  <c r="BI102" i="16"/>
  <c r="AO102" i="16"/>
  <c r="GS102" i="16"/>
  <c r="AE42" i="16"/>
  <c r="EK42" i="16"/>
  <c r="DQ38" i="16"/>
  <c r="GS38" i="16"/>
  <c r="DE16" i="16"/>
  <c r="BQ71" i="16"/>
  <c r="CA122" i="16"/>
  <c r="GG21" i="16"/>
  <c r="BS62" i="16"/>
  <c r="DG62" i="16"/>
  <c r="EU62" i="16"/>
  <c r="CU11" i="16"/>
  <c r="CW12" i="16"/>
  <c r="FC11" i="16"/>
  <c r="FE12" i="16"/>
  <c r="CC82" i="16"/>
  <c r="CM82" i="16"/>
  <c r="DY96" i="16"/>
  <c r="GQ111" i="16"/>
  <c r="AC101" i="16"/>
  <c r="DY117" i="16"/>
  <c r="DQ57" i="16"/>
  <c r="GO124" i="16"/>
  <c r="GU124" i="16" s="1"/>
  <c r="FU124" i="16"/>
  <c r="DW124" i="16"/>
  <c r="EC124" i="16" s="1"/>
  <c r="DM124" i="16"/>
  <c r="GE124" i="16"/>
  <c r="GK124" i="16" s="1"/>
  <c r="FA124" i="16"/>
  <c r="EQ124" i="16"/>
  <c r="EW124" i="16" s="1"/>
  <c r="BE124" i="16"/>
  <c r="BK124" i="16" s="1"/>
  <c r="EG124" i="16"/>
  <c r="BY124" i="16"/>
  <c r="BO124" i="16"/>
  <c r="BU124" i="16" s="1"/>
  <c r="DC124" i="16"/>
  <c r="DI124" i="16" s="1"/>
  <c r="Q124" i="16"/>
  <c r="AU124" i="16"/>
  <c r="FK124" i="16"/>
  <c r="FQ124" i="16" s="1"/>
  <c r="CS124" i="16"/>
  <c r="CI124" i="16"/>
  <c r="G124" i="16"/>
  <c r="AK124" i="16"/>
  <c r="AA124" i="16"/>
  <c r="GE39" i="16"/>
  <c r="GK39" i="16" s="1"/>
  <c r="GO39" i="16"/>
  <c r="EQ39" i="16"/>
  <c r="EW39" i="16" s="1"/>
  <c r="FU39" i="16"/>
  <c r="DM39" i="16"/>
  <c r="DS39" i="16" s="1"/>
  <c r="BY39" i="16"/>
  <c r="BO39" i="16"/>
  <c r="BU39" i="16" s="1"/>
  <c r="CI39" i="16"/>
  <c r="CO39" i="16" s="1"/>
  <c r="AU39" i="16"/>
  <c r="AK39" i="16"/>
  <c r="FA39" i="16"/>
  <c r="FG39" i="16" s="1"/>
  <c r="DW39" i="16"/>
  <c r="EC39" i="16" s="1"/>
  <c r="AA39" i="16"/>
  <c r="G39" i="16"/>
  <c r="BE39" i="16"/>
  <c r="BK39" i="16" s="1"/>
  <c r="FK39" i="16"/>
  <c r="FQ39" i="16" s="1"/>
  <c r="DC39" i="16"/>
  <c r="CS39" i="16"/>
  <c r="CY39" i="16" s="1"/>
  <c r="EG39" i="16"/>
  <c r="EM39" i="16" s="1"/>
  <c r="Q39" i="16"/>
  <c r="GE43" i="16"/>
  <c r="GK43" i="16" s="1"/>
  <c r="GO43" i="16"/>
  <c r="GU43" i="16" s="1"/>
  <c r="FU43" i="16"/>
  <c r="GA43" i="16" s="1"/>
  <c r="FA43" i="16"/>
  <c r="FG43" i="16" s="1"/>
  <c r="EQ43" i="16"/>
  <c r="EW43" i="16" s="1"/>
  <c r="FK43" i="16"/>
  <c r="FQ43" i="16" s="1"/>
  <c r="EG43" i="16"/>
  <c r="EM43" i="16" s="1"/>
  <c r="BY43" i="16"/>
  <c r="CE43" i="16" s="1"/>
  <c r="BO43" i="16"/>
  <c r="BU43" i="16" s="1"/>
  <c r="DW43" i="16"/>
  <c r="EC43" i="16" s="1"/>
  <c r="CI43" i="16"/>
  <c r="CO43" i="16" s="1"/>
  <c r="AU43" i="16"/>
  <c r="BA43" i="16" s="1"/>
  <c r="AK43" i="16"/>
  <c r="AQ43" i="16" s="1"/>
  <c r="CS43" i="16"/>
  <c r="CY43" i="16" s="1"/>
  <c r="BE43" i="16"/>
  <c r="BK43" i="16" s="1"/>
  <c r="G43" i="16"/>
  <c r="AA43" i="16"/>
  <c r="AG43" i="16" s="1"/>
  <c r="DM43" i="16"/>
  <c r="DS43" i="16" s="1"/>
  <c r="DC43" i="16"/>
  <c r="DI43" i="16" s="1"/>
  <c r="Q43" i="16"/>
  <c r="W43" i="16" s="1"/>
  <c r="GE23" i="16"/>
  <c r="GK23" i="16" s="1"/>
  <c r="GO23" i="16"/>
  <c r="GU23" i="16" s="1"/>
  <c r="FK23" i="16"/>
  <c r="FQ23" i="16" s="1"/>
  <c r="EQ23" i="16"/>
  <c r="EW23" i="16" s="1"/>
  <c r="FU23" i="16"/>
  <c r="GA23" i="16" s="1"/>
  <c r="DM23" i="16"/>
  <c r="BY23" i="16"/>
  <c r="CE23" i="16" s="1"/>
  <c r="BO23" i="16"/>
  <c r="BU23" i="16" s="1"/>
  <c r="CI23" i="16"/>
  <c r="CO23" i="16" s="1"/>
  <c r="AU23" i="16"/>
  <c r="BA23" i="16" s="1"/>
  <c r="AK23" i="16"/>
  <c r="AQ23" i="16" s="1"/>
  <c r="DW23" i="16"/>
  <c r="EC23" i="16" s="1"/>
  <c r="AA23" i="16"/>
  <c r="AG23" i="16" s="1"/>
  <c r="G23" i="16"/>
  <c r="BE23" i="16"/>
  <c r="BK23" i="16" s="1"/>
  <c r="DC23" i="16"/>
  <c r="DI23" i="16" s="1"/>
  <c r="FA23" i="16"/>
  <c r="FG23" i="16" s="1"/>
  <c r="CS23" i="16"/>
  <c r="CY23" i="16" s="1"/>
  <c r="EG23" i="16"/>
  <c r="EM23" i="16" s="1"/>
  <c r="Q23" i="16"/>
  <c r="W23" i="16" s="1"/>
  <c r="GO109" i="16"/>
  <c r="FU109" i="16"/>
  <c r="FK109" i="16"/>
  <c r="FQ109" i="16" s="1"/>
  <c r="FA109" i="16"/>
  <c r="GE109" i="16"/>
  <c r="GK109" i="16" s="1"/>
  <c r="EG109" i="16"/>
  <c r="DW109" i="16"/>
  <c r="EC109" i="16" s="1"/>
  <c r="DM109" i="16"/>
  <c r="DS109" i="16" s="1"/>
  <c r="DC109" i="16"/>
  <c r="CS109" i="16"/>
  <c r="BE109" i="16"/>
  <c r="G109" i="16"/>
  <c r="BY109" i="16"/>
  <c r="CE109" i="16" s="1"/>
  <c r="BO109" i="16"/>
  <c r="Q109" i="16"/>
  <c r="CI109" i="16"/>
  <c r="CO109" i="16" s="1"/>
  <c r="EQ109" i="16"/>
  <c r="EW109" i="16" s="1"/>
  <c r="AU109" i="16"/>
  <c r="AK109" i="16"/>
  <c r="AA109" i="16"/>
  <c r="AG109" i="16" s="1"/>
  <c r="GO58" i="16"/>
  <c r="GU58" i="16" s="1"/>
  <c r="FU58" i="16"/>
  <c r="GA58" i="16" s="1"/>
  <c r="FK58" i="16"/>
  <c r="FQ58" i="16" s="1"/>
  <c r="FA58" i="16"/>
  <c r="FG58" i="16" s="1"/>
  <c r="EG58" i="16"/>
  <c r="EM58" i="16" s="1"/>
  <c r="DW58" i="16"/>
  <c r="EC58" i="16" s="1"/>
  <c r="CI58" i="16"/>
  <c r="CO58" i="16" s="1"/>
  <c r="AU58" i="16"/>
  <c r="AK58" i="16"/>
  <c r="DM58" i="16"/>
  <c r="DC58" i="16"/>
  <c r="DI58" i="16" s="1"/>
  <c r="CS58" i="16"/>
  <c r="CY58" i="16" s="1"/>
  <c r="AA58" i="16"/>
  <c r="AG58" i="16" s="1"/>
  <c r="BY58" i="16"/>
  <c r="BO58" i="16"/>
  <c r="BU58" i="16" s="1"/>
  <c r="GE58" i="16"/>
  <c r="GK58" i="16" s="1"/>
  <c r="EQ58" i="16"/>
  <c r="Q58" i="16"/>
  <c r="W58" i="16" s="1"/>
  <c r="BE58" i="16"/>
  <c r="G58" i="16"/>
  <c r="M58" i="16" s="1"/>
  <c r="GO8" i="16"/>
  <c r="GU8" i="16" s="1"/>
  <c r="GE8" i="16"/>
  <c r="FK8" i="16"/>
  <c r="FQ8" i="16" s="1"/>
  <c r="DW8" i="16"/>
  <c r="EC8" i="16" s="1"/>
  <c r="DM8" i="16"/>
  <c r="DS8" i="16" s="1"/>
  <c r="EQ8" i="16"/>
  <c r="FA8" i="16"/>
  <c r="FG8" i="16" s="1"/>
  <c r="BE8" i="16"/>
  <c r="BK8" i="16" s="1"/>
  <c r="FU8" i="16"/>
  <c r="GA8" i="16" s="1"/>
  <c r="BY8" i="16"/>
  <c r="BO8" i="16"/>
  <c r="BU8" i="16" s="1"/>
  <c r="EG8" i="16"/>
  <c r="AU8" i="16"/>
  <c r="AK8" i="16"/>
  <c r="AQ8" i="16" s="1"/>
  <c r="Q8" i="16"/>
  <c r="W8" i="16" s="1"/>
  <c r="CS8" i="16"/>
  <c r="CY8" i="16" s="1"/>
  <c r="AA8" i="16"/>
  <c r="G8" i="16"/>
  <c r="M8" i="16" s="1"/>
  <c r="DC8" i="16"/>
  <c r="CI8" i="16"/>
  <c r="AW106" i="16"/>
  <c r="GQ31" i="16"/>
  <c r="BQ16" i="16"/>
  <c r="BG111" i="16"/>
  <c r="EI41" i="16"/>
  <c r="AM56" i="16"/>
  <c r="GG47" i="16"/>
  <c r="DE81" i="16"/>
  <c r="BQ81" i="16"/>
  <c r="AW122" i="16"/>
  <c r="AM37" i="16"/>
  <c r="AO37" i="16"/>
  <c r="BI37" i="16"/>
  <c r="BG37" i="16"/>
  <c r="DO37" i="16"/>
  <c r="DQ37" i="16"/>
  <c r="FO37" i="16"/>
  <c r="FM37" i="16"/>
  <c r="DG48" i="16"/>
  <c r="DE48" i="16"/>
  <c r="FE48" i="16"/>
  <c r="FC48" i="16"/>
  <c r="AY48" i="16"/>
  <c r="AW48" i="16"/>
  <c r="EU48" i="16"/>
  <c r="ES48" i="16"/>
  <c r="FY48" i="16"/>
  <c r="FW48" i="16"/>
  <c r="CW7" i="16"/>
  <c r="FE7" i="16"/>
  <c r="FO7" i="16"/>
  <c r="FY7" i="16"/>
  <c r="CW72" i="16"/>
  <c r="CM72" i="16"/>
  <c r="EI71" i="16"/>
  <c r="EK72" i="16"/>
  <c r="BG71" i="16"/>
  <c r="BI72" i="16"/>
  <c r="EA72" i="16"/>
  <c r="AC91" i="16"/>
  <c r="AE92" i="16"/>
  <c r="CK91" i="16"/>
  <c r="CM92" i="16"/>
  <c r="BQ91" i="16"/>
  <c r="BS92" i="16"/>
  <c r="DO91" i="16"/>
  <c r="DQ92" i="16"/>
  <c r="AE97" i="16"/>
  <c r="AY97" i="16"/>
  <c r="BI97" i="16"/>
  <c r="DQ97" i="16"/>
  <c r="GI97" i="16"/>
  <c r="BI118" i="16"/>
  <c r="FO118" i="16"/>
  <c r="AY118" i="16"/>
  <c r="FE118" i="16"/>
  <c r="CU122" i="16"/>
  <c r="CW123" i="16"/>
  <c r="EA123" i="16"/>
  <c r="FO123" i="16"/>
  <c r="GI123" i="16"/>
  <c r="DY111" i="16"/>
  <c r="FM71" i="16"/>
  <c r="BG61" i="16"/>
  <c r="FM117" i="16"/>
  <c r="BG26" i="16"/>
  <c r="CK51" i="16"/>
  <c r="DO36" i="16"/>
  <c r="DG87" i="16"/>
  <c r="AY87" i="16"/>
  <c r="DQ87" i="16"/>
  <c r="GS87" i="16"/>
  <c r="EU77" i="16"/>
  <c r="BS77" i="16"/>
  <c r="CW77" i="16"/>
  <c r="EK77" i="16"/>
  <c r="FY77" i="16"/>
  <c r="AW51" i="16"/>
  <c r="AY52" i="16"/>
  <c r="EK52" i="16"/>
  <c r="DO51" i="16"/>
  <c r="DQ52" i="16"/>
  <c r="GI52" i="16"/>
  <c r="BS22" i="16"/>
  <c r="DQ22" i="16"/>
  <c r="AO22" i="16"/>
  <c r="FO22" i="16"/>
  <c r="GS22" i="16"/>
  <c r="CM17" i="16"/>
  <c r="CW17" i="16"/>
  <c r="EK17" i="16"/>
  <c r="GI17" i="16"/>
  <c r="DO16" i="16"/>
  <c r="CU71" i="16"/>
  <c r="BQ117" i="16"/>
  <c r="DO21" i="16"/>
  <c r="FM26" i="16"/>
  <c r="CW102" i="16"/>
  <c r="CM102" i="16"/>
  <c r="FE102" i="16"/>
  <c r="BS42" i="16"/>
  <c r="DG42" i="16"/>
  <c r="CM42" i="16"/>
  <c r="FO42" i="16"/>
  <c r="BI38" i="16"/>
  <c r="CW38" i="16"/>
  <c r="CM38" i="16"/>
  <c r="FE38" i="16"/>
  <c r="CA31" i="16"/>
  <c r="FW96" i="16"/>
  <c r="AW16" i="16"/>
  <c r="AC41" i="16"/>
  <c r="AM71" i="16"/>
  <c r="DE56" i="16"/>
  <c r="DY61" i="16"/>
  <c r="BQ47" i="16"/>
  <c r="CK81" i="16"/>
  <c r="CU101" i="16"/>
  <c r="GG122" i="16"/>
  <c r="BG122" i="16"/>
  <c r="EI21" i="16"/>
  <c r="CA21" i="16"/>
  <c r="CU91" i="16"/>
  <c r="DE36" i="16"/>
  <c r="DQ62" i="16"/>
  <c r="AE62" i="16"/>
  <c r="AY62" i="16"/>
  <c r="FE62" i="16"/>
  <c r="GI62" i="16"/>
  <c r="DE11" i="16"/>
  <c r="DG12" i="16"/>
  <c r="BI12" i="16"/>
  <c r="DY11" i="16"/>
  <c r="EA12" i="16"/>
  <c r="GQ11" i="16"/>
  <c r="GS12" i="16"/>
  <c r="BI82" i="16"/>
  <c r="AE82" i="16"/>
  <c r="AO82" i="16"/>
  <c r="EK82" i="16"/>
  <c r="GS82" i="16"/>
  <c r="BQ31" i="16"/>
  <c r="CU96" i="16"/>
  <c r="BG56" i="16"/>
  <c r="BG101" i="16"/>
  <c r="DO122" i="16"/>
  <c r="ES76" i="16"/>
  <c r="CA117" i="16"/>
  <c r="CA6" i="16"/>
  <c r="DY6" i="16"/>
  <c r="AC21" i="16"/>
  <c r="CM57" i="16"/>
  <c r="CW57" i="16"/>
  <c r="EK57" i="16"/>
  <c r="GI57" i="16"/>
  <c r="FE32" i="16"/>
  <c r="AE32" i="16"/>
  <c r="FO32" i="16"/>
  <c r="EU32" i="16"/>
  <c r="GI32" i="16"/>
  <c r="AE112" i="16"/>
  <c r="BS112" i="16"/>
  <c r="FO112" i="16"/>
  <c r="GI112" i="16"/>
  <c r="AC11" i="16"/>
  <c r="AC106" i="16"/>
  <c r="GQ16" i="16"/>
  <c r="GQ41" i="16"/>
  <c r="AC56" i="16"/>
  <c r="DE61" i="16"/>
  <c r="DO47" i="16"/>
  <c r="DY47" i="16"/>
  <c r="ES81" i="16"/>
  <c r="BQ101" i="16"/>
  <c r="GG76" i="16"/>
  <c r="CK117" i="16"/>
  <c r="CU6" i="16"/>
  <c r="DE26" i="16"/>
  <c r="CU36" i="16"/>
  <c r="CC49" i="16"/>
  <c r="CA49" i="16"/>
  <c r="EU49" i="16"/>
  <c r="ES49" i="16"/>
  <c r="DQ49" i="16"/>
  <c r="DO49" i="16"/>
  <c r="FM49" i="16"/>
  <c r="FO49" i="16"/>
  <c r="EK108" i="16"/>
  <c r="DO107" i="16"/>
  <c r="DQ108" i="16"/>
  <c r="GQ107" i="16"/>
  <c r="GS108" i="16"/>
  <c r="U80" i="16"/>
  <c r="S80" i="16"/>
  <c r="U26" i="16"/>
  <c r="S107" i="16"/>
  <c r="U107" i="16"/>
  <c r="S47" i="16"/>
  <c r="U47" i="16"/>
  <c r="U70" i="16"/>
  <c r="S70" i="16"/>
  <c r="U91" i="16"/>
  <c r="U111" i="16"/>
  <c r="U41" i="16"/>
  <c r="S90" i="16"/>
  <c r="U76" i="16"/>
  <c r="S105" i="16"/>
  <c r="U105" i="16"/>
  <c r="S46" i="16"/>
  <c r="S75" i="16"/>
  <c r="S51" i="16"/>
  <c r="U51" i="16"/>
  <c r="U16" i="16"/>
  <c r="U81" i="16"/>
  <c r="S81" i="16"/>
  <c r="U101" i="16"/>
  <c r="U121" i="16"/>
  <c r="U71" i="16"/>
  <c r="S117" i="16"/>
  <c r="U117" i="16"/>
  <c r="U31" i="16"/>
  <c r="U65" i="16"/>
  <c r="S65" i="16"/>
  <c r="U66" i="16"/>
  <c r="S66" i="16"/>
  <c r="S106" i="16"/>
  <c r="S25" i="16"/>
  <c r="U11" i="16"/>
  <c r="S10" i="16"/>
  <c r="S5" i="16"/>
  <c r="U6" i="16"/>
  <c r="I56" i="16"/>
  <c r="I37" i="16"/>
  <c r="K87" i="16"/>
  <c r="I86" i="16"/>
  <c r="K112" i="16"/>
  <c r="D27" i="16"/>
  <c r="D87" i="16"/>
  <c r="C89" i="16"/>
  <c r="D92" i="16"/>
  <c r="C14" i="16"/>
  <c r="D13" i="16" s="1"/>
  <c r="D52" i="16"/>
  <c r="I96" i="16"/>
  <c r="C34" i="16"/>
  <c r="D102" i="16"/>
  <c r="C74" i="16"/>
  <c r="C104" i="16"/>
  <c r="D103" i="16" s="1"/>
  <c r="D72" i="16"/>
  <c r="C54" i="16"/>
  <c r="K52" i="16"/>
  <c r="D32" i="16"/>
  <c r="C69" i="16"/>
  <c r="D57" i="16"/>
  <c r="D67" i="16"/>
  <c r="C79" i="16"/>
  <c r="D77" i="16"/>
  <c r="C94" i="16"/>
  <c r="D58" i="16"/>
  <c r="D59" i="16"/>
  <c r="D119" i="16"/>
  <c r="D108" i="16"/>
  <c r="D118" i="16"/>
  <c r="D8" i="16"/>
  <c r="C114" i="16"/>
  <c r="D9" i="16"/>
  <c r="D109" i="16"/>
  <c r="C19" i="16"/>
  <c r="C29" i="16"/>
  <c r="D22" i="16"/>
  <c r="I21" i="16"/>
  <c r="C24" i="16"/>
  <c r="C84" i="16"/>
  <c r="D112" i="16"/>
  <c r="D42" i="16"/>
  <c r="C44" i="16"/>
  <c r="D17" i="16"/>
  <c r="D39" i="16"/>
  <c r="D82" i="16"/>
  <c r="D38" i="16"/>
  <c r="I122" i="16"/>
  <c r="K123" i="16"/>
  <c r="D123" i="16"/>
  <c r="D124" i="16"/>
  <c r="I48" i="16"/>
  <c r="I49" i="16"/>
  <c r="K49" i="16"/>
  <c r="GG62" i="16" l="1"/>
  <c r="GI63" i="16"/>
  <c r="X106" i="16"/>
  <c r="FH36" i="16"/>
  <c r="FR61" i="16"/>
  <c r="X36" i="16"/>
  <c r="GV36" i="16"/>
  <c r="FR48" i="16"/>
  <c r="BV36" i="16"/>
  <c r="EN48" i="16"/>
  <c r="GV48" i="16"/>
  <c r="BV48" i="16"/>
  <c r="X48" i="16"/>
  <c r="ED48" i="16"/>
  <c r="DT48" i="16"/>
  <c r="CO8" i="16"/>
  <c r="CP7" i="16" s="1"/>
  <c r="EM8" i="16"/>
  <c r="EN7" i="16" s="1"/>
  <c r="CE8" i="16"/>
  <c r="CF7" i="16" s="1"/>
  <c r="EW8" i="16"/>
  <c r="EX7" i="16" s="1"/>
  <c r="GK8" i="16"/>
  <c r="GL7" i="16" s="1"/>
  <c r="CE58" i="16"/>
  <c r="CF57" i="16" s="1"/>
  <c r="DS58" i="16"/>
  <c r="DT57" i="16" s="1"/>
  <c r="BA58" i="16"/>
  <c r="BB57" i="16" s="1"/>
  <c r="BA109" i="16"/>
  <c r="BB109" i="16" s="1"/>
  <c r="BU109" i="16"/>
  <c r="BV109" i="16" s="1"/>
  <c r="CY109" i="16"/>
  <c r="CZ109" i="16" s="1"/>
  <c r="EM109" i="16"/>
  <c r="EN109" i="16" s="1"/>
  <c r="FG109" i="16"/>
  <c r="FH109" i="16" s="1"/>
  <c r="GA109" i="16"/>
  <c r="GB109" i="16" s="1"/>
  <c r="DS23" i="16"/>
  <c r="DT22" i="16" s="1"/>
  <c r="W39" i="16"/>
  <c r="X39" i="16" s="1"/>
  <c r="AQ39" i="16"/>
  <c r="AR39" i="16" s="1"/>
  <c r="CE39" i="16"/>
  <c r="CF39" i="16" s="1"/>
  <c r="GA39" i="16"/>
  <c r="GB39" i="16" s="1"/>
  <c r="GU39" i="16"/>
  <c r="GV39" i="16" s="1"/>
  <c r="AG124" i="16"/>
  <c r="AH124" i="16" s="1"/>
  <c r="CY124" i="16"/>
  <c r="CZ124" i="16" s="1"/>
  <c r="BA124" i="16"/>
  <c r="BB124" i="16" s="1"/>
  <c r="CE124" i="16"/>
  <c r="CF124" i="16" s="1"/>
  <c r="FG124" i="16"/>
  <c r="FH124" i="16" s="1"/>
  <c r="DS124" i="16"/>
  <c r="DT124" i="16" s="1"/>
  <c r="GA124" i="16"/>
  <c r="GB124" i="16" s="1"/>
  <c r="W53" i="16"/>
  <c r="X52" i="16" s="1"/>
  <c r="FQ53" i="16"/>
  <c r="FR52" i="16" s="1"/>
  <c r="W93" i="16"/>
  <c r="X92" i="16" s="1"/>
  <c r="GA93" i="16"/>
  <c r="GB92" i="16" s="1"/>
  <c r="W59" i="16"/>
  <c r="X59" i="16" s="1"/>
  <c r="DS59" i="16"/>
  <c r="DT59" i="16" s="1"/>
  <c r="CY59" i="16"/>
  <c r="CZ59" i="16" s="1"/>
  <c r="BA59" i="16"/>
  <c r="BB59" i="16" s="1"/>
  <c r="EC59" i="16"/>
  <c r="ED59" i="16" s="1"/>
  <c r="CE59" i="16"/>
  <c r="CF59" i="16" s="1"/>
  <c r="FQ59" i="16"/>
  <c r="FR59" i="16" s="1"/>
  <c r="FG59" i="16"/>
  <c r="FH59" i="16" s="1"/>
  <c r="GU59" i="16"/>
  <c r="GV59" i="16" s="1"/>
  <c r="BU18" i="16"/>
  <c r="BV17" i="16" s="1"/>
  <c r="DS18" i="16"/>
  <c r="DT17" i="16" s="1"/>
  <c r="W119" i="16"/>
  <c r="X119" i="16" s="1"/>
  <c r="CY119" i="16"/>
  <c r="CZ119" i="16" s="1"/>
  <c r="BA119" i="16"/>
  <c r="BB119" i="16" s="1"/>
  <c r="BU119" i="16"/>
  <c r="BV119" i="16" s="1"/>
  <c r="DS119" i="16"/>
  <c r="DT119" i="16" s="1"/>
  <c r="GU119" i="16"/>
  <c r="GV119" i="16" s="1"/>
  <c r="BK28" i="16"/>
  <c r="BL27" i="16" s="1"/>
  <c r="BU9" i="16"/>
  <c r="BV9" i="16" s="1"/>
  <c r="AQ9" i="16"/>
  <c r="AR9" i="16" s="1"/>
  <c r="CE9" i="16"/>
  <c r="CF9" i="16" s="1"/>
  <c r="CO9" i="16"/>
  <c r="CP9" i="16" s="1"/>
  <c r="EW9" i="16"/>
  <c r="EX9" i="16" s="1"/>
  <c r="CY9" i="16"/>
  <c r="CZ9" i="16" s="1"/>
  <c r="DS9" i="16"/>
  <c r="DT9" i="16" s="1"/>
  <c r="EM9" i="16"/>
  <c r="EN9" i="16" s="1"/>
  <c r="FQ9" i="16"/>
  <c r="FR9" i="16" s="1"/>
  <c r="GK9" i="16"/>
  <c r="GL9" i="16" s="1"/>
  <c r="W78" i="16"/>
  <c r="X77" i="16" s="1"/>
  <c r="W63" i="16"/>
  <c r="X62" i="16" s="1"/>
  <c r="CM63" i="16"/>
  <c r="CO63" i="16"/>
  <c r="DI8" i="16"/>
  <c r="DJ7" i="16" s="1"/>
  <c r="AG8" i="16"/>
  <c r="AH7" i="16" s="1"/>
  <c r="BA8" i="16"/>
  <c r="BB7" i="16" s="1"/>
  <c r="BK58" i="16"/>
  <c r="BL57" i="16" s="1"/>
  <c r="EW58" i="16"/>
  <c r="EX57" i="16" s="1"/>
  <c r="AQ58" i="16"/>
  <c r="AR57" i="16" s="1"/>
  <c r="AQ109" i="16"/>
  <c r="AR109" i="16" s="1"/>
  <c r="W109" i="16"/>
  <c r="X109" i="16" s="1"/>
  <c r="BK109" i="16"/>
  <c r="BL109" i="16" s="1"/>
  <c r="DI109" i="16"/>
  <c r="DJ109" i="16" s="1"/>
  <c r="GU109" i="16"/>
  <c r="GV109" i="16" s="1"/>
  <c r="DI39" i="16"/>
  <c r="DJ39" i="16" s="1"/>
  <c r="AG39" i="16"/>
  <c r="AH39" i="16" s="1"/>
  <c r="BA39" i="16"/>
  <c r="BB39" i="16" s="1"/>
  <c r="AQ124" i="16"/>
  <c r="AR124" i="16" s="1"/>
  <c r="CO124" i="16"/>
  <c r="CP124" i="16" s="1"/>
  <c r="W124" i="16"/>
  <c r="X124" i="16" s="1"/>
  <c r="EM124" i="16"/>
  <c r="EN124" i="16" s="1"/>
  <c r="W103" i="16"/>
  <c r="X102" i="16" s="1"/>
  <c r="W68" i="16"/>
  <c r="X67" i="16" s="1"/>
  <c r="DI59" i="16"/>
  <c r="DJ59" i="16" s="1"/>
  <c r="AG59" i="16"/>
  <c r="AH59" i="16" s="1"/>
  <c r="BK59" i="16"/>
  <c r="BL59" i="16" s="1"/>
  <c r="AQ59" i="16"/>
  <c r="AR59" i="16" s="1"/>
  <c r="CO59" i="16"/>
  <c r="CP59" i="16" s="1"/>
  <c r="BU59" i="16"/>
  <c r="BV59" i="16" s="1"/>
  <c r="EM59" i="16"/>
  <c r="EN59" i="16" s="1"/>
  <c r="EW59" i="16"/>
  <c r="EX59" i="16" s="1"/>
  <c r="GA59" i="16"/>
  <c r="GB59" i="16" s="1"/>
  <c r="GK59" i="16"/>
  <c r="GL59" i="16" s="1"/>
  <c r="CO119" i="16"/>
  <c r="CP119" i="16" s="1"/>
  <c r="W9" i="16"/>
  <c r="X9" i="16" s="1"/>
  <c r="BA9" i="16"/>
  <c r="BB9" i="16" s="1"/>
  <c r="BK9" i="16"/>
  <c r="BL9" i="16" s="1"/>
  <c r="AG9" i="16"/>
  <c r="AH9" i="16" s="1"/>
  <c r="DI9" i="16"/>
  <c r="DJ9" i="16" s="1"/>
  <c r="EC9" i="16"/>
  <c r="ED9" i="16" s="1"/>
  <c r="FG9" i="16"/>
  <c r="FH9" i="16" s="1"/>
  <c r="GA9" i="16"/>
  <c r="GB9" i="16" s="1"/>
  <c r="GU9" i="16"/>
  <c r="GV9" i="16" s="1"/>
  <c r="GL48" i="16"/>
  <c r="CZ48" i="16"/>
  <c r="CU123" i="16"/>
  <c r="GL61" i="16"/>
  <c r="BQ7" i="16"/>
  <c r="FW7" i="16"/>
  <c r="FC7" i="16"/>
  <c r="FM7" i="16"/>
  <c r="GQ7" i="16"/>
  <c r="BQ57" i="16"/>
  <c r="AC57" i="16"/>
  <c r="DE57" i="16"/>
  <c r="CK57" i="16"/>
  <c r="EI57" i="16"/>
  <c r="FM57" i="16"/>
  <c r="GQ57" i="16"/>
  <c r="ES108" i="16"/>
  <c r="CA108" i="16"/>
  <c r="DY108" i="16"/>
  <c r="GG108" i="16"/>
  <c r="FM108" i="16"/>
  <c r="EK23" i="16"/>
  <c r="FC22" i="16"/>
  <c r="FH22" i="16"/>
  <c r="BG22" i="16"/>
  <c r="AC22" i="16"/>
  <c r="AM22" i="16"/>
  <c r="AR22" i="16"/>
  <c r="CA22" i="16"/>
  <c r="FM22" i="16"/>
  <c r="FR22" i="16"/>
  <c r="GG22" i="16"/>
  <c r="DG43" i="16"/>
  <c r="DJ42" i="16"/>
  <c r="AC42" i="16"/>
  <c r="BG42" i="16"/>
  <c r="BL42" i="16"/>
  <c r="AO43" i="16"/>
  <c r="CK42" i="16"/>
  <c r="CP42" i="16"/>
  <c r="BS43" i="16"/>
  <c r="BV42" i="16"/>
  <c r="EU43" i="16"/>
  <c r="EX42" i="16"/>
  <c r="FY43" i="16"/>
  <c r="GB42" i="16"/>
  <c r="GG42" i="16"/>
  <c r="GL42" i="16"/>
  <c r="EI38" i="16"/>
  <c r="BG38" i="16"/>
  <c r="FC38" i="16"/>
  <c r="BQ38" i="16"/>
  <c r="DO38" i="16"/>
  <c r="ES38" i="16"/>
  <c r="GG38" i="16"/>
  <c r="FM123" i="16"/>
  <c r="FR124" i="16"/>
  <c r="BQ123" i="16"/>
  <c r="ES123" i="16"/>
  <c r="EX124" i="16"/>
  <c r="GG123" i="16"/>
  <c r="DY123" i="16"/>
  <c r="ED124" i="16"/>
  <c r="GQ123" i="16"/>
  <c r="GV124" i="16"/>
  <c r="FW87" i="16"/>
  <c r="GB87" i="16"/>
  <c r="CU87" i="16"/>
  <c r="AW87" i="16"/>
  <c r="BB87" i="16"/>
  <c r="ES87" i="16"/>
  <c r="EX87" i="16"/>
  <c r="GG87" i="16"/>
  <c r="GL87" i="16"/>
  <c r="FM102" i="16"/>
  <c r="DE102" i="16"/>
  <c r="AM102" i="16"/>
  <c r="AR102" i="16"/>
  <c r="GQ102" i="16"/>
  <c r="GV102" i="16"/>
  <c r="EI67" i="16"/>
  <c r="EN67" i="16"/>
  <c r="BG97" i="16"/>
  <c r="BL97" i="16"/>
  <c r="AC97" i="16"/>
  <c r="AH97" i="16"/>
  <c r="CU97" i="16"/>
  <c r="DO97" i="16"/>
  <c r="DT97" i="16"/>
  <c r="AW97" i="16"/>
  <c r="BB97" i="16"/>
  <c r="CK52" i="16"/>
  <c r="BQ52" i="16"/>
  <c r="ES52" i="16"/>
  <c r="DE52" i="16"/>
  <c r="ES92" i="16"/>
  <c r="CK92" i="16"/>
  <c r="BQ92" i="16"/>
  <c r="CU92" i="16"/>
  <c r="GQ92" i="16"/>
  <c r="AC17" i="16"/>
  <c r="AH17" i="16"/>
  <c r="AM17" i="16"/>
  <c r="AR17" i="16"/>
  <c r="CK17" i="16"/>
  <c r="CP17" i="16"/>
  <c r="EI17" i="16"/>
  <c r="EN17" i="16"/>
  <c r="FW17" i="16"/>
  <c r="GB17" i="16"/>
  <c r="GQ17" i="16"/>
  <c r="AW12" i="16"/>
  <c r="AC12" i="16"/>
  <c r="DE12" i="16"/>
  <c r="DY12" i="16"/>
  <c r="FC12" i="16"/>
  <c r="FW12" i="16"/>
  <c r="GQ12" i="16"/>
  <c r="CA72" i="16"/>
  <c r="CF72" i="16"/>
  <c r="AM72" i="16"/>
  <c r="BG72" i="16"/>
  <c r="AC72" i="16"/>
  <c r="AH72" i="16"/>
  <c r="DE72" i="16"/>
  <c r="DY72" i="16"/>
  <c r="ED72" i="16"/>
  <c r="FC72" i="16"/>
  <c r="FM72" i="16"/>
  <c r="GQ72" i="16"/>
  <c r="GV72" i="16"/>
  <c r="EI118" i="16"/>
  <c r="EN119" i="16"/>
  <c r="AC118" i="16"/>
  <c r="AH119" i="16"/>
  <c r="BG118" i="16"/>
  <c r="BL119" i="16"/>
  <c r="AM118" i="16"/>
  <c r="CA118" i="16"/>
  <c r="FW118" i="16"/>
  <c r="GB119" i="16"/>
  <c r="FM118" i="16"/>
  <c r="GG118" i="16"/>
  <c r="GL119" i="16"/>
  <c r="CU27" i="16"/>
  <c r="AE83" i="16"/>
  <c r="AH82" i="16"/>
  <c r="DQ83" i="16"/>
  <c r="DT82" i="16"/>
  <c r="BG82" i="16"/>
  <c r="BL82" i="16"/>
  <c r="AO83" i="16"/>
  <c r="AR82" i="16"/>
  <c r="CM83" i="16"/>
  <c r="BS83" i="16"/>
  <c r="EI82" i="16"/>
  <c r="EN82" i="16"/>
  <c r="FE83" i="16"/>
  <c r="FY83" i="16"/>
  <c r="GS83" i="16"/>
  <c r="GV82" i="16"/>
  <c r="DO77" i="16"/>
  <c r="DT77" i="16"/>
  <c r="AC77" i="16"/>
  <c r="AH77" i="16"/>
  <c r="AW77" i="16"/>
  <c r="GQ77" i="16"/>
  <c r="GG77" i="16"/>
  <c r="AW32" i="16"/>
  <c r="BB32" i="16"/>
  <c r="BG32" i="16"/>
  <c r="DE32" i="16"/>
  <c r="DY32" i="16"/>
  <c r="FC32" i="16"/>
  <c r="FH32" i="16"/>
  <c r="FW32" i="16"/>
  <c r="GQ32" i="16"/>
  <c r="CK112" i="16"/>
  <c r="DE112" i="16"/>
  <c r="DY112" i="16"/>
  <c r="FC112" i="16"/>
  <c r="GQ112" i="16"/>
  <c r="CA62" i="16"/>
  <c r="CF62" i="16"/>
  <c r="EK63" i="16"/>
  <c r="EN62" i="16"/>
  <c r="DG63" i="16"/>
  <c r="FY63" i="16"/>
  <c r="GB62" i="16"/>
  <c r="GG63" i="16"/>
  <c r="GS63" i="16"/>
  <c r="FC62" i="16"/>
  <c r="FH62" i="16"/>
  <c r="DT27" i="16"/>
  <c r="DT26" i="16"/>
  <c r="GL67" i="16"/>
  <c r="GL66" i="16"/>
  <c r="FR67" i="16"/>
  <c r="FR66" i="16"/>
  <c r="EX67" i="16"/>
  <c r="EX66" i="16"/>
  <c r="CF67" i="16"/>
  <c r="CF66" i="16"/>
  <c r="ED67" i="16"/>
  <c r="ED66" i="16"/>
  <c r="BB67" i="16"/>
  <c r="BB66" i="16"/>
  <c r="GB111" i="16"/>
  <c r="BB112" i="16"/>
  <c r="GB32" i="16"/>
  <c r="GB31" i="16"/>
  <c r="CZ32" i="16"/>
  <c r="GV56" i="16"/>
  <c r="GB57" i="16"/>
  <c r="GB56" i="16"/>
  <c r="ED81" i="16"/>
  <c r="BB81" i="16"/>
  <c r="DT81" i="16"/>
  <c r="EN12" i="16"/>
  <c r="EN11" i="16"/>
  <c r="CF61" i="16"/>
  <c r="FH101" i="16"/>
  <c r="GL16" i="16"/>
  <c r="FR16" i="16"/>
  <c r="EN16" i="16"/>
  <c r="AR21" i="16"/>
  <c r="CZ22" i="16"/>
  <c r="AH52" i="16"/>
  <c r="DJ87" i="16"/>
  <c r="DJ86" i="16"/>
  <c r="FH86" i="16"/>
  <c r="BL87" i="16"/>
  <c r="BL86" i="16"/>
  <c r="GV107" i="16"/>
  <c r="GV106" i="16"/>
  <c r="GB107" i="16"/>
  <c r="GB106" i="16"/>
  <c r="EX107" i="16"/>
  <c r="EX106" i="16"/>
  <c r="BV107" i="16"/>
  <c r="BV106" i="16"/>
  <c r="CP107" i="16"/>
  <c r="CP106" i="16"/>
  <c r="AR107" i="16"/>
  <c r="AR106" i="16"/>
  <c r="BL107" i="16"/>
  <c r="BL106" i="16"/>
  <c r="DJ107" i="16"/>
  <c r="DJ106" i="16"/>
  <c r="AH107" i="16"/>
  <c r="AH106" i="16"/>
  <c r="EX122" i="16"/>
  <c r="CP122" i="16"/>
  <c r="AH122" i="16"/>
  <c r="FH117" i="16"/>
  <c r="AH117" i="16"/>
  <c r="GB97" i="16"/>
  <c r="DT96" i="16"/>
  <c r="BB96" i="16"/>
  <c r="AH96" i="16"/>
  <c r="BB92" i="16"/>
  <c r="GL71" i="16"/>
  <c r="ED71" i="16"/>
  <c r="GV6" i="16"/>
  <c r="GB6" i="16"/>
  <c r="BV21" i="16"/>
  <c r="BL117" i="16"/>
  <c r="AR61" i="16"/>
  <c r="GL51" i="16"/>
  <c r="CZ21" i="16"/>
  <c r="BV41" i="16"/>
  <c r="CP41" i="16"/>
  <c r="BV27" i="16"/>
  <c r="BV26" i="16"/>
  <c r="CP27" i="16"/>
  <c r="CP26" i="16"/>
  <c r="AR27" i="16"/>
  <c r="AR26" i="16"/>
  <c r="FR112" i="16"/>
  <c r="EX31" i="16"/>
  <c r="FH31" i="16"/>
  <c r="EN56" i="16"/>
  <c r="DT56" i="16"/>
  <c r="CZ56" i="16"/>
  <c r="EX56" i="16"/>
  <c r="CP56" i="16"/>
  <c r="BB56" i="16"/>
  <c r="BV56" i="16"/>
  <c r="AR81" i="16"/>
  <c r="DT61" i="16"/>
  <c r="BV62" i="16"/>
  <c r="GL102" i="16"/>
  <c r="GB102" i="16"/>
  <c r="EX102" i="16"/>
  <c r="BB102" i="16"/>
  <c r="AH16" i="16"/>
  <c r="BL17" i="16"/>
  <c r="EX22" i="16"/>
  <c r="BB21" i="16"/>
  <c r="DJ22" i="16"/>
  <c r="GV52" i="16"/>
  <c r="ED52" i="16"/>
  <c r="ED77" i="16"/>
  <c r="ED76" i="16"/>
  <c r="DJ77" i="16"/>
  <c r="GL86" i="16"/>
  <c r="FR87" i="16"/>
  <c r="FR86" i="16"/>
  <c r="GB86" i="16"/>
  <c r="CF87" i="16"/>
  <c r="CF86" i="16"/>
  <c r="CP87" i="16"/>
  <c r="EN87" i="16"/>
  <c r="EN86" i="16"/>
  <c r="GL107" i="16"/>
  <c r="GL106" i="16"/>
  <c r="FH107" i="16"/>
  <c r="FH106" i="16"/>
  <c r="FR107" i="16"/>
  <c r="FR106" i="16"/>
  <c r="CF107" i="16"/>
  <c r="CF106" i="16"/>
  <c r="ED107" i="16"/>
  <c r="ED106" i="16"/>
  <c r="BB107" i="16"/>
  <c r="BB106" i="16"/>
  <c r="CZ107" i="16"/>
  <c r="CZ106" i="16"/>
  <c r="DT107" i="16"/>
  <c r="DT106" i="16"/>
  <c r="CZ123" i="16"/>
  <c r="FR97" i="16"/>
  <c r="DJ97" i="16"/>
  <c r="DJ96" i="16"/>
  <c r="BV96" i="16"/>
  <c r="AR97" i="16"/>
  <c r="AR96" i="16"/>
  <c r="FR92" i="16"/>
  <c r="DT71" i="16"/>
  <c r="GL6" i="16"/>
  <c r="DJ6" i="16"/>
  <c r="EN6" i="16"/>
  <c r="BL48" i="16"/>
  <c r="BL47" i="16"/>
  <c r="AR48" i="16"/>
  <c r="AR47" i="16"/>
  <c r="AH48" i="16"/>
  <c r="AH47" i="16"/>
  <c r="CP48" i="16"/>
  <c r="CP47" i="16"/>
  <c r="GL37" i="16"/>
  <c r="GL36" i="16"/>
  <c r="FR37" i="16"/>
  <c r="FR36" i="16"/>
  <c r="EN37" i="16"/>
  <c r="EN36" i="16"/>
  <c r="BL37" i="16"/>
  <c r="BL36" i="16"/>
  <c r="CF37" i="16"/>
  <c r="CF36" i="16"/>
  <c r="AR37" i="16"/>
  <c r="AR36" i="16"/>
  <c r="CU7" i="16"/>
  <c r="AM7" i="16"/>
  <c r="DY7" i="16"/>
  <c r="GG57" i="16"/>
  <c r="CU57" i="16"/>
  <c r="DY57" i="16"/>
  <c r="FC57" i="16"/>
  <c r="AC108" i="16"/>
  <c r="CK108" i="16"/>
  <c r="DO108" i="16"/>
  <c r="DY22" i="16"/>
  <c r="ED22" i="16"/>
  <c r="AW22" i="16"/>
  <c r="BQ22" i="16"/>
  <c r="GQ22" i="16"/>
  <c r="GV22" i="16"/>
  <c r="DQ43" i="16"/>
  <c r="DT42" i="16"/>
  <c r="CW43" i="16"/>
  <c r="CZ42" i="16"/>
  <c r="AY43" i="16"/>
  <c r="BB42" i="16"/>
  <c r="EA43" i="16"/>
  <c r="CC43" i="16"/>
  <c r="FO43" i="16"/>
  <c r="FR42" i="16"/>
  <c r="FE43" i="16"/>
  <c r="GS43" i="16"/>
  <c r="CU38" i="16"/>
  <c r="FM38" i="16"/>
  <c r="DY38" i="16"/>
  <c r="CK38" i="16"/>
  <c r="DE123" i="16"/>
  <c r="BG123" i="16"/>
  <c r="AM87" i="16"/>
  <c r="AR87" i="16"/>
  <c r="FC87" i="16"/>
  <c r="DO87" i="16"/>
  <c r="DT87" i="16"/>
  <c r="GQ87" i="16"/>
  <c r="GV87" i="16"/>
  <c r="EK103" i="16"/>
  <c r="BI103" i="16"/>
  <c r="AC102" i="16"/>
  <c r="FC102" i="16"/>
  <c r="FH102" i="16"/>
  <c r="BQ102" i="16"/>
  <c r="DO102" i="16"/>
  <c r="CU67" i="16"/>
  <c r="BG67" i="16"/>
  <c r="BL67" i="16"/>
  <c r="BQ97" i="16"/>
  <c r="ES97" i="16"/>
  <c r="CK97" i="16"/>
  <c r="EI97" i="16"/>
  <c r="FC97" i="16"/>
  <c r="FH97" i="16"/>
  <c r="GG97" i="16"/>
  <c r="GL97" i="16"/>
  <c r="AM52" i="16"/>
  <c r="BG52" i="16"/>
  <c r="CU52" i="16"/>
  <c r="CZ52" i="16"/>
  <c r="DO52" i="16"/>
  <c r="EI52" i="16"/>
  <c r="EN52" i="16"/>
  <c r="GG52" i="16"/>
  <c r="GL52" i="16"/>
  <c r="AM92" i="16"/>
  <c r="CA92" i="16"/>
  <c r="GG92" i="16"/>
  <c r="DE92" i="16"/>
  <c r="FC92" i="16"/>
  <c r="FM17" i="16"/>
  <c r="ES17" i="16"/>
  <c r="EX17" i="16"/>
  <c r="CU17" i="16"/>
  <c r="CZ17" i="16"/>
  <c r="AW17" i="16"/>
  <c r="FC17" i="16"/>
  <c r="FH17" i="16"/>
  <c r="GG17" i="16"/>
  <c r="GL17" i="16"/>
  <c r="AM12" i="16"/>
  <c r="CK12" i="16"/>
  <c r="CP12" i="16"/>
  <c r="BQ12" i="16"/>
  <c r="BG12" i="16"/>
  <c r="BL12" i="16"/>
  <c r="DO12" i="16"/>
  <c r="BQ72" i="16"/>
  <c r="AW72" i="16"/>
  <c r="BB72" i="16"/>
  <c r="ES72" i="16"/>
  <c r="CU72" i="16"/>
  <c r="DO72" i="16"/>
  <c r="DT72" i="16"/>
  <c r="GG72" i="16"/>
  <c r="FW72" i="16"/>
  <c r="FC118" i="16"/>
  <c r="FH119" i="16"/>
  <c r="DE118" i="16"/>
  <c r="DY118" i="16"/>
  <c r="ES118" i="16"/>
  <c r="EX119" i="16"/>
  <c r="AC27" i="16"/>
  <c r="AH27" i="16"/>
  <c r="EI27" i="16"/>
  <c r="GG27" i="16"/>
  <c r="GL27" i="16"/>
  <c r="DG83" i="16"/>
  <c r="CU82" i="16"/>
  <c r="AY83" i="16"/>
  <c r="EA83" i="16"/>
  <c r="CC83" i="16"/>
  <c r="CF82" i="16"/>
  <c r="EU83" i="16"/>
  <c r="FO83" i="16"/>
  <c r="FR82" i="16"/>
  <c r="GI83" i="16"/>
  <c r="GL82" i="16"/>
  <c r="CA77" i="16"/>
  <c r="CF77" i="16"/>
  <c r="BG77" i="16"/>
  <c r="BL77" i="16"/>
  <c r="CU77" i="16"/>
  <c r="CZ77" i="16"/>
  <c r="AM77" i="16"/>
  <c r="CK77" i="16"/>
  <c r="CP77" i="16"/>
  <c r="EI77" i="16"/>
  <c r="EN77" i="16"/>
  <c r="FC77" i="16"/>
  <c r="FH77" i="16"/>
  <c r="BQ32" i="16"/>
  <c r="AM32" i="16"/>
  <c r="AR32" i="16"/>
  <c r="CA32" i="16"/>
  <c r="CK32" i="16"/>
  <c r="ES32" i="16"/>
  <c r="EX32" i="16"/>
  <c r="DO32" i="16"/>
  <c r="FM32" i="16"/>
  <c r="FR32" i="16"/>
  <c r="GG32" i="16"/>
  <c r="GL32" i="16"/>
  <c r="AC112" i="16"/>
  <c r="AH112" i="16"/>
  <c r="AM112" i="16"/>
  <c r="AR112" i="16"/>
  <c r="BQ112" i="16"/>
  <c r="BV112" i="16"/>
  <c r="BG112" i="16"/>
  <c r="DO112" i="16"/>
  <c r="EI112" i="16"/>
  <c r="GG112" i="16"/>
  <c r="GL112" i="16"/>
  <c r="FW112" i="16"/>
  <c r="AY63" i="16"/>
  <c r="BI63" i="16"/>
  <c r="EU63" i="16"/>
  <c r="AO63" i="16"/>
  <c r="AE63" i="16"/>
  <c r="AH62" i="16"/>
  <c r="DO62" i="16"/>
  <c r="CU62" i="16"/>
  <c r="CK62" i="16"/>
  <c r="EA63" i="16"/>
  <c r="GV27" i="16"/>
  <c r="GV26" i="16"/>
  <c r="FH27" i="16"/>
  <c r="FH26" i="16"/>
  <c r="FR27" i="16"/>
  <c r="FR26" i="16"/>
  <c r="CF27" i="16"/>
  <c r="CF26" i="16"/>
  <c r="ED27" i="16"/>
  <c r="ED26" i="16"/>
  <c r="BB27" i="16"/>
  <c r="BB26" i="16"/>
  <c r="AH67" i="16"/>
  <c r="AH66" i="16"/>
  <c r="EX112" i="16"/>
  <c r="CF112" i="16"/>
  <c r="CZ112" i="16"/>
  <c r="CZ111" i="16"/>
  <c r="ED56" i="16"/>
  <c r="CF56" i="16"/>
  <c r="GL81" i="16"/>
  <c r="FR81" i="16"/>
  <c r="GL12" i="16"/>
  <c r="FR12" i="16"/>
  <c r="EX12" i="16"/>
  <c r="EN42" i="16"/>
  <c r="DJ41" i="16"/>
  <c r="CP102" i="16"/>
  <c r="AR101" i="16"/>
  <c r="CZ102" i="16"/>
  <c r="CZ16" i="16"/>
  <c r="EX16" i="16"/>
  <c r="CP16" i="16"/>
  <c r="FR21" i="16"/>
  <c r="CP22" i="16"/>
  <c r="BB52" i="16"/>
  <c r="GB77" i="16"/>
  <c r="GB76" i="16"/>
  <c r="FH76" i="16"/>
  <c r="EN76" i="16"/>
  <c r="DT76" i="16"/>
  <c r="CZ76" i="16"/>
  <c r="BL76" i="16"/>
  <c r="BV77" i="16"/>
  <c r="BV76" i="16"/>
  <c r="CP76" i="16"/>
  <c r="EX77" i="16"/>
  <c r="GV86" i="16"/>
  <c r="EX86" i="16"/>
  <c r="DT86" i="16"/>
  <c r="BV87" i="16"/>
  <c r="BV86" i="16"/>
  <c r="BB86" i="16"/>
  <c r="ED87" i="16"/>
  <c r="GL96" i="16"/>
  <c r="BL96" i="16"/>
  <c r="CF97" i="16"/>
  <c r="DT92" i="16"/>
  <c r="BL92" i="16"/>
  <c r="BL91" i="16"/>
  <c r="EN92" i="16"/>
  <c r="AH92" i="16"/>
  <c r="EN72" i="16"/>
  <c r="CP72" i="16"/>
  <c r="FR6" i="16"/>
  <c r="BB6" i="16"/>
  <c r="FH6" i="16"/>
  <c r="BL7" i="16"/>
  <c r="BL6" i="16"/>
  <c r="GB48" i="16"/>
  <c r="GB47" i="16"/>
  <c r="EX48" i="16"/>
  <c r="EX47" i="16"/>
  <c r="CF48" i="16"/>
  <c r="CF47" i="16"/>
  <c r="BB48" i="16"/>
  <c r="BB47" i="16"/>
  <c r="FH48" i="16"/>
  <c r="FH47" i="16"/>
  <c r="DJ48" i="16"/>
  <c r="DJ47" i="16"/>
  <c r="ED37" i="16"/>
  <c r="ED36" i="16"/>
  <c r="CP37" i="16"/>
  <c r="CP36" i="16"/>
  <c r="GB61" i="16"/>
  <c r="EX71" i="16"/>
  <c r="BB117" i="16"/>
  <c r="EX117" i="16"/>
  <c r="CP101" i="16"/>
  <c r="GL26" i="16"/>
  <c r="GB27" i="16"/>
  <c r="GB26" i="16"/>
  <c r="EX27" i="16"/>
  <c r="EX26" i="16"/>
  <c r="AH26" i="16"/>
  <c r="DJ27" i="16"/>
  <c r="DJ26" i="16"/>
  <c r="GV67" i="16"/>
  <c r="GV66" i="16"/>
  <c r="GB67" i="16"/>
  <c r="GB66" i="16"/>
  <c r="FH67" i="16"/>
  <c r="FH66" i="16"/>
  <c r="EN66" i="16"/>
  <c r="BV67" i="16"/>
  <c r="BV66" i="16"/>
  <c r="CP67" i="16"/>
  <c r="CP66" i="16"/>
  <c r="AR67" i="16"/>
  <c r="AR66" i="16"/>
  <c r="BL66" i="16"/>
  <c r="DJ67" i="16"/>
  <c r="DJ66" i="16"/>
  <c r="DT67" i="16"/>
  <c r="DT66" i="16"/>
  <c r="GL111" i="16"/>
  <c r="AH32" i="16"/>
  <c r="AH31" i="16"/>
  <c r="EN32" i="16"/>
  <c r="GL56" i="16"/>
  <c r="CF12" i="16"/>
  <c r="CZ12" i="16"/>
  <c r="AH61" i="16"/>
  <c r="ED102" i="16"/>
  <c r="CF102" i="16"/>
  <c r="GB16" i="16"/>
  <c r="FH16" i="16"/>
  <c r="ED17" i="16"/>
  <c r="ED16" i="16"/>
  <c r="DJ17" i="16"/>
  <c r="AR16" i="16"/>
  <c r="CF17" i="16"/>
  <c r="GB22" i="16"/>
  <c r="GB21" i="16"/>
  <c r="GB52" i="16"/>
  <c r="FH52" i="16"/>
  <c r="CF52" i="16"/>
  <c r="FR77" i="16"/>
  <c r="FR76" i="16"/>
  <c r="AH76" i="16"/>
  <c r="CF76" i="16"/>
  <c r="AR86" i="16"/>
  <c r="AH87" i="16"/>
  <c r="AH86" i="16"/>
  <c r="FR122" i="16"/>
  <c r="ED122" i="16"/>
  <c r="GB117" i="16"/>
  <c r="CZ117" i="16"/>
  <c r="DT117" i="16"/>
  <c r="GV97" i="16"/>
  <c r="FH96" i="16"/>
  <c r="ED97" i="16"/>
  <c r="ED92" i="16"/>
  <c r="AH71" i="16"/>
  <c r="DT7" i="16"/>
  <c r="CP6" i="16"/>
  <c r="AR6" i="16"/>
  <c r="FE63" i="16"/>
  <c r="Q64" i="16"/>
  <c r="FW62" i="16"/>
  <c r="DM64" i="16"/>
  <c r="DS64" i="16" s="1"/>
  <c r="DY62" i="16"/>
  <c r="X57" i="16"/>
  <c r="X72" i="16"/>
  <c r="X32" i="16"/>
  <c r="X82" i="16"/>
  <c r="X22" i="16"/>
  <c r="X27" i="16"/>
  <c r="X112" i="16"/>
  <c r="X12" i="16"/>
  <c r="X42" i="16"/>
  <c r="X17" i="16"/>
  <c r="X87" i="16"/>
  <c r="X97" i="16"/>
  <c r="X7" i="16"/>
  <c r="K98" i="16"/>
  <c r="M98" i="16"/>
  <c r="N97" i="16" s="1"/>
  <c r="K53" i="16"/>
  <c r="M53" i="16"/>
  <c r="K93" i="16"/>
  <c r="M93" i="16"/>
  <c r="I59" i="16"/>
  <c r="M59" i="16"/>
  <c r="N59" i="16" s="1"/>
  <c r="K18" i="16"/>
  <c r="N17" i="16"/>
  <c r="I12" i="16"/>
  <c r="S11" i="16" s="1"/>
  <c r="K73" i="16"/>
  <c r="M73" i="16"/>
  <c r="I118" i="16"/>
  <c r="M119" i="16"/>
  <c r="N119" i="16" s="1"/>
  <c r="I27" i="16"/>
  <c r="M28" i="16"/>
  <c r="N27" i="16" s="1"/>
  <c r="I82" i="16"/>
  <c r="M83" i="16"/>
  <c r="N82" i="16" s="1"/>
  <c r="K78" i="16"/>
  <c r="M78" i="16"/>
  <c r="N77" i="16" s="1"/>
  <c r="I112" i="16"/>
  <c r="M113" i="16"/>
  <c r="N112" i="16" s="1"/>
  <c r="N51" i="16"/>
  <c r="N57" i="16"/>
  <c r="N48" i="16"/>
  <c r="N47" i="16"/>
  <c r="I7" i="16"/>
  <c r="I109" i="16"/>
  <c r="M109" i="16"/>
  <c r="N109" i="16" s="1"/>
  <c r="K23" i="16"/>
  <c r="M23" i="16"/>
  <c r="K43" i="16"/>
  <c r="M43" i="16"/>
  <c r="K39" i="16"/>
  <c r="M39" i="16"/>
  <c r="N39" i="16" s="1"/>
  <c r="I123" i="16"/>
  <c r="M124" i="16"/>
  <c r="K103" i="16"/>
  <c r="M103" i="16"/>
  <c r="N102" i="16" s="1"/>
  <c r="I67" i="16"/>
  <c r="M68" i="16"/>
  <c r="K9" i="16"/>
  <c r="N9" i="16"/>
  <c r="K33" i="16"/>
  <c r="M33" i="16"/>
  <c r="N32" i="16" s="1"/>
  <c r="K63" i="16"/>
  <c r="M63" i="16"/>
  <c r="N111" i="16"/>
  <c r="N16" i="16"/>
  <c r="N107" i="16"/>
  <c r="N7" i="16"/>
  <c r="N91" i="16"/>
  <c r="N11" i="16"/>
  <c r="N76" i="16"/>
  <c r="N31" i="16"/>
  <c r="I72" i="16"/>
  <c r="CW63" i="16"/>
  <c r="D63" i="16"/>
  <c r="DO82" i="16"/>
  <c r="EG64" i="16"/>
  <c r="EM64" i="16" s="1"/>
  <c r="BY64" i="16"/>
  <c r="CE64" i="16" s="1"/>
  <c r="GO64" i="16"/>
  <c r="GU64" i="16" s="1"/>
  <c r="GQ62" i="16"/>
  <c r="D64" i="16"/>
  <c r="CI64" i="16"/>
  <c r="CO64" i="16" s="1"/>
  <c r="G64" i="16"/>
  <c r="K64" i="16" s="1"/>
  <c r="AK64" i="16"/>
  <c r="AQ64" i="16" s="1"/>
  <c r="BE64" i="16"/>
  <c r="BK64" i="16" s="1"/>
  <c r="DW64" i="16"/>
  <c r="EC64" i="16" s="1"/>
  <c r="DQ63" i="16"/>
  <c r="ES62" i="16"/>
  <c r="ES82" i="16"/>
  <c r="I102" i="16"/>
  <c r="BG62" i="16"/>
  <c r="AC62" i="16"/>
  <c r="AC82" i="16"/>
  <c r="DE62" i="16"/>
  <c r="FA64" i="16"/>
  <c r="FG64" i="16" s="1"/>
  <c r="AA64" i="16"/>
  <c r="AG64" i="16" s="1"/>
  <c r="AU64" i="16"/>
  <c r="BA64" i="16" s="1"/>
  <c r="FK64" i="16"/>
  <c r="FQ64" i="16" s="1"/>
  <c r="FU64" i="16"/>
  <c r="GA64" i="16" s="1"/>
  <c r="K109" i="16"/>
  <c r="AW62" i="16"/>
  <c r="EI62" i="16"/>
  <c r="DC64" i="16"/>
  <c r="DI64" i="16" s="1"/>
  <c r="CS64" i="16"/>
  <c r="CY64" i="16" s="1"/>
  <c r="BO64" i="16"/>
  <c r="BU64" i="16" s="1"/>
  <c r="EQ64" i="16"/>
  <c r="EW64" i="16" s="1"/>
  <c r="BQ62" i="16"/>
  <c r="CC63" i="16"/>
  <c r="BS63" i="16"/>
  <c r="AM62" i="16"/>
  <c r="I108" i="16"/>
  <c r="AW82" i="16"/>
  <c r="K113" i="16"/>
  <c r="I58" i="16"/>
  <c r="I77" i="16"/>
  <c r="K13" i="16"/>
  <c r="GG82" i="16"/>
  <c r="FW82" i="16"/>
  <c r="I97" i="16"/>
  <c r="I119" i="16"/>
  <c r="K59" i="16"/>
  <c r="K8" i="16"/>
  <c r="DE42" i="16"/>
  <c r="DY82" i="16"/>
  <c r="DE82" i="16"/>
  <c r="EI102" i="16"/>
  <c r="CK82" i="16"/>
  <c r="FM82" i="16"/>
  <c r="AW42" i="16"/>
  <c r="CA42" i="16"/>
  <c r="GO69" i="16"/>
  <c r="GU69" i="16" s="1"/>
  <c r="GE69" i="16"/>
  <c r="GK69" i="16" s="1"/>
  <c r="FU69" i="16"/>
  <c r="FK69" i="16"/>
  <c r="FA69" i="16"/>
  <c r="FG69" i="16" s="1"/>
  <c r="EG69" i="16"/>
  <c r="EM69" i="16" s="1"/>
  <c r="DW69" i="16"/>
  <c r="EC69" i="16" s="1"/>
  <c r="DM69" i="16"/>
  <c r="DC69" i="16"/>
  <c r="DI69" i="16" s="1"/>
  <c r="CS69" i="16"/>
  <c r="CY69" i="16" s="1"/>
  <c r="AA69" i="16"/>
  <c r="BE69" i="16"/>
  <c r="CI69" i="16"/>
  <c r="CO69" i="16" s="1"/>
  <c r="EQ69" i="16"/>
  <c r="EW69" i="16" s="1"/>
  <c r="BY69" i="16"/>
  <c r="CE69" i="16" s="1"/>
  <c r="BO69" i="16"/>
  <c r="BU69" i="16" s="1"/>
  <c r="Q69" i="16"/>
  <c r="G69" i="16"/>
  <c r="AU69" i="16"/>
  <c r="BA69" i="16" s="1"/>
  <c r="AK69" i="16"/>
  <c r="AQ69" i="16" s="1"/>
  <c r="CC8" i="16"/>
  <c r="CA8" i="16"/>
  <c r="GI8" i="16"/>
  <c r="GG8" i="16"/>
  <c r="DQ58" i="16"/>
  <c r="DO58" i="16"/>
  <c r="FW58" i="16"/>
  <c r="FY58" i="16"/>
  <c r="BS109" i="16"/>
  <c r="BQ109" i="16"/>
  <c r="EK109" i="16"/>
  <c r="EI109" i="16"/>
  <c r="CW23" i="16"/>
  <c r="DQ23" i="16"/>
  <c r="CW39" i="16"/>
  <c r="CU39" i="16"/>
  <c r="AO39" i="16"/>
  <c r="AM39" i="16"/>
  <c r="CA39" i="16"/>
  <c r="CC39" i="16"/>
  <c r="CA123" i="16"/>
  <c r="CC124" i="16"/>
  <c r="CA124" i="16"/>
  <c r="FC123" i="16"/>
  <c r="FE124" i="16"/>
  <c r="FC124" i="16"/>
  <c r="CM88" i="16"/>
  <c r="AY88" i="16"/>
  <c r="EA88" i="16"/>
  <c r="CW103" i="16"/>
  <c r="CM103" i="16"/>
  <c r="AC67" i="16"/>
  <c r="AE68" i="16"/>
  <c r="BQ67" i="16"/>
  <c r="BS68" i="16"/>
  <c r="FM67" i="16"/>
  <c r="FO68" i="16"/>
  <c r="BI98" i="16"/>
  <c r="CC98" i="16"/>
  <c r="EA98" i="16"/>
  <c r="AY53" i="16"/>
  <c r="AE53" i="16"/>
  <c r="FY53" i="16"/>
  <c r="CM93" i="16"/>
  <c r="DQ93" i="16"/>
  <c r="DG59" i="16"/>
  <c r="DE59" i="16"/>
  <c r="CM59" i="16"/>
  <c r="CK59" i="16"/>
  <c r="EK59" i="16"/>
  <c r="EI59" i="16"/>
  <c r="BI18" i="16"/>
  <c r="CC18" i="16"/>
  <c r="DG18" i="16"/>
  <c r="CM18" i="16"/>
  <c r="EU13" i="16"/>
  <c r="CW13" i="16"/>
  <c r="GI13" i="16"/>
  <c r="CM73" i="16"/>
  <c r="EK73" i="16"/>
  <c r="FE119" i="16"/>
  <c r="FC119" i="16"/>
  <c r="CW119" i="16"/>
  <c r="CU119" i="16"/>
  <c r="DQ119" i="16"/>
  <c r="DO119" i="16"/>
  <c r="CM28" i="16"/>
  <c r="FC27" i="16"/>
  <c r="FE28" i="16"/>
  <c r="DY87" i="16"/>
  <c r="AW9" i="16"/>
  <c r="AY9" i="16"/>
  <c r="BI9" i="16"/>
  <c r="BG9" i="16"/>
  <c r="FC9" i="16"/>
  <c r="FE9" i="16"/>
  <c r="GQ9" i="16"/>
  <c r="GS9" i="16"/>
  <c r="BS78" i="16"/>
  <c r="EA78" i="16"/>
  <c r="DG78" i="16"/>
  <c r="EU78" i="16"/>
  <c r="FO78" i="16"/>
  <c r="AE33" i="16"/>
  <c r="EA33" i="16"/>
  <c r="FY33" i="16"/>
  <c r="CC113" i="16"/>
  <c r="AY113" i="16"/>
  <c r="EU113" i="16"/>
  <c r="FO113" i="16"/>
  <c r="I32" i="16"/>
  <c r="GE79" i="16"/>
  <c r="FK79" i="16"/>
  <c r="FQ79" i="16" s="1"/>
  <c r="EQ79" i="16"/>
  <c r="GO79" i="16"/>
  <c r="GU79" i="16" s="1"/>
  <c r="DM79" i="16"/>
  <c r="DS79" i="16" s="1"/>
  <c r="BY79" i="16"/>
  <c r="CE79" i="16" s="1"/>
  <c r="BO79" i="16"/>
  <c r="BU79" i="16" s="1"/>
  <c r="FA79" i="16"/>
  <c r="CI79" i="16"/>
  <c r="AU79" i="16"/>
  <c r="BA79" i="16" s="1"/>
  <c r="AK79" i="16"/>
  <c r="AQ79" i="16" s="1"/>
  <c r="AA79" i="16"/>
  <c r="AG79" i="16" s="1"/>
  <c r="G79" i="16"/>
  <c r="CS79" i="16"/>
  <c r="CY79" i="16" s="1"/>
  <c r="BE79" i="16"/>
  <c r="BK79" i="16" s="1"/>
  <c r="FU79" i="16"/>
  <c r="EG79" i="16"/>
  <c r="EM79" i="16" s="1"/>
  <c r="DC79" i="16"/>
  <c r="DI79" i="16" s="1"/>
  <c r="DW79" i="16"/>
  <c r="Q79" i="16"/>
  <c r="GO34" i="16"/>
  <c r="GU34" i="16" s="1"/>
  <c r="GE34" i="16"/>
  <c r="GK34" i="16" s="1"/>
  <c r="FU34" i="16"/>
  <c r="GA34" i="16" s="1"/>
  <c r="FA34" i="16"/>
  <c r="FK34" i="16"/>
  <c r="EG34" i="16"/>
  <c r="EM34" i="16" s="1"/>
  <c r="DW34" i="16"/>
  <c r="EC34" i="16" s="1"/>
  <c r="CI34" i="16"/>
  <c r="AU34" i="16"/>
  <c r="BA34" i="16" s="1"/>
  <c r="AK34" i="16"/>
  <c r="AQ34" i="16" s="1"/>
  <c r="DM34" i="16"/>
  <c r="DS34" i="16" s="1"/>
  <c r="DC34" i="16"/>
  <c r="CS34" i="16"/>
  <c r="CY34" i="16" s="1"/>
  <c r="AA34" i="16"/>
  <c r="AG34" i="16" s="1"/>
  <c r="EQ34" i="16"/>
  <c r="EW34" i="16" s="1"/>
  <c r="BY34" i="16"/>
  <c r="BO34" i="16"/>
  <c r="BU34" i="16" s="1"/>
  <c r="BE34" i="16"/>
  <c r="BK34" i="16" s="1"/>
  <c r="Q34" i="16"/>
  <c r="G34" i="16"/>
  <c r="DO22" i="16"/>
  <c r="BQ77" i="16"/>
  <c r="AE8" i="16"/>
  <c r="AC8" i="16"/>
  <c r="AY8" i="16"/>
  <c r="AW8" i="16"/>
  <c r="DQ8" i="16"/>
  <c r="DO8" i="16"/>
  <c r="EU58" i="16"/>
  <c r="ES58" i="16"/>
  <c r="AM58" i="16"/>
  <c r="AO58" i="16"/>
  <c r="GQ58" i="16"/>
  <c r="GS58" i="16"/>
  <c r="ES109" i="16"/>
  <c r="EU109" i="16"/>
  <c r="DG109" i="16"/>
  <c r="DE109" i="16"/>
  <c r="GQ109" i="16"/>
  <c r="GS109" i="16"/>
  <c r="AE23" i="16"/>
  <c r="CM23" i="16"/>
  <c r="GI23" i="16"/>
  <c r="GI43" i="16"/>
  <c r="AE39" i="16"/>
  <c r="AC39" i="16"/>
  <c r="DQ39" i="16"/>
  <c r="DO39" i="16"/>
  <c r="CK123" i="16"/>
  <c r="CM124" i="16"/>
  <c r="CK124" i="16"/>
  <c r="EK124" i="16"/>
  <c r="EI124" i="16"/>
  <c r="GI124" i="16"/>
  <c r="GG124" i="16"/>
  <c r="DG88" i="16"/>
  <c r="EI87" i="16"/>
  <c r="EK88" i="16"/>
  <c r="FE103" i="16"/>
  <c r="EU103" i="16"/>
  <c r="CA67" i="16"/>
  <c r="CC68" i="16"/>
  <c r="FW67" i="16"/>
  <c r="FY68" i="16"/>
  <c r="CK27" i="16"/>
  <c r="CA112" i="16"/>
  <c r="AO98" i="16"/>
  <c r="GI98" i="16"/>
  <c r="CC53" i="16"/>
  <c r="EK53" i="16"/>
  <c r="AE93" i="16"/>
  <c r="EA93" i="16"/>
  <c r="DQ59" i="16"/>
  <c r="DO59" i="16"/>
  <c r="EA59" i="16"/>
  <c r="DY59" i="16"/>
  <c r="FO59" i="16"/>
  <c r="FM59" i="16"/>
  <c r="FO18" i="16"/>
  <c r="DQ18" i="16"/>
  <c r="EA18" i="16"/>
  <c r="GQ42" i="16"/>
  <c r="ES42" i="16"/>
  <c r="CA17" i="16"/>
  <c r="CA52" i="16"/>
  <c r="FM77" i="16"/>
  <c r="EI123" i="16"/>
  <c r="DO118" i="16"/>
  <c r="CC13" i="16"/>
  <c r="FE13" i="16"/>
  <c r="BI73" i="16"/>
  <c r="FE73" i="16"/>
  <c r="AE119" i="16"/>
  <c r="AC119" i="16"/>
  <c r="CK119" i="16"/>
  <c r="CM119" i="16"/>
  <c r="GI119" i="16"/>
  <c r="GG119" i="16"/>
  <c r="DE27" i="16"/>
  <c r="DG28" i="16"/>
  <c r="DO27" i="16"/>
  <c r="DQ28" i="16"/>
  <c r="ES57" i="16"/>
  <c r="CA12" i="16"/>
  <c r="AM42" i="16"/>
  <c r="CK22" i="16"/>
  <c r="AC52" i="16"/>
  <c r="CA97" i="16"/>
  <c r="BQ9" i="16"/>
  <c r="BS9" i="16"/>
  <c r="CA9" i="16"/>
  <c r="CC9" i="16"/>
  <c r="EU9" i="16"/>
  <c r="ES9" i="16"/>
  <c r="DO9" i="16"/>
  <c r="DQ9" i="16"/>
  <c r="FM9" i="16"/>
  <c r="FO9" i="16"/>
  <c r="DE108" i="16"/>
  <c r="AO78" i="16"/>
  <c r="EK78" i="16"/>
  <c r="FY78" i="16"/>
  <c r="AO33" i="16"/>
  <c r="CM33" i="16"/>
  <c r="CW33" i="16"/>
  <c r="EK33" i="16"/>
  <c r="GI33" i="16"/>
  <c r="BS113" i="16"/>
  <c r="CW113" i="16"/>
  <c r="EK113" i="16"/>
  <c r="FY113" i="16"/>
  <c r="I39" i="16"/>
  <c r="K83" i="16"/>
  <c r="I22" i="16"/>
  <c r="I52" i="16"/>
  <c r="GO84" i="16"/>
  <c r="GE84" i="16"/>
  <c r="FU84" i="16"/>
  <c r="FK84" i="16"/>
  <c r="DW84" i="16"/>
  <c r="DM84" i="16"/>
  <c r="FA84" i="16"/>
  <c r="EQ84" i="16"/>
  <c r="BE84" i="16"/>
  <c r="BK84" i="16" s="1"/>
  <c r="EG84" i="16"/>
  <c r="BY84" i="16"/>
  <c r="BO84" i="16"/>
  <c r="DC84" i="16"/>
  <c r="Q84" i="16"/>
  <c r="AU84" i="16"/>
  <c r="AK84" i="16"/>
  <c r="CS84" i="16"/>
  <c r="CY84" i="16" s="1"/>
  <c r="CI84" i="16"/>
  <c r="G84" i="16"/>
  <c r="AA84" i="16"/>
  <c r="GO29" i="16"/>
  <c r="GU29" i="16" s="1"/>
  <c r="GE29" i="16"/>
  <c r="GK29" i="16" s="1"/>
  <c r="FU29" i="16"/>
  <c r="FK29" i="16"/>
  <c r="FQ29" i="16" s="1"/>
  <c r="FA29" i="16"/>
  <c r="EG29" i="16"/>
  <c r="DW29" i="16"/>
  <c r="DM29" i="16"/>
  <c r="DS29" i="16" s="1"/>
  <c r="DC29" i="16"/>
  <c r="DI29" i="16" s="1"/>
  <c r="CS29" i="16"/>
  <c r="CY29" i="16" s="1"/>
  <c r="AA29" i="16"/>
  <c r="BE29" i="16"/>
  <c r="BK29" i="16" s="1"/>
  <c r="CI29" i="16"/>
  <c r="CO29" i="16" s="1"/>
  <c r="AU29" i="16"/>
  <c r="BY29" i="16"/>
  <c r="CE29" i="16" s="1"/>
  <c r="BO29" i="16"/>
  <c r="BU29" i="16" s="1"/>
  <c r="Q29" i="16"/>
  <c r="G29" i="16"/>
  <c r="EQ29" i="16"/>
  <c r="AK29" i="16"/>
  <c r="AQ29" i="16" s="1"/>
  <c r="GE94" i="16"/>
  <c r="GK94" i="16" s="1"/>
  <c r="FU94" i="16"/>
  <c r="GA94" i="16" s="1"/>
  <c r="GO94" i="16"/>
  <c r="FK94" i="16"/>
  <c r="FQ94" i="16" s="1"/>
  <c r="FA94" i="16"/>
  <c r="FG94" i="16" s="1"/>
  <c r="EG94" i="16"/>
  <c r="EM94" i="16" s="1"/>
  <c r="EQ94" i="16"/>
  <c r="CI94" i="16"/>
  <c r="CO94" i="16" s="1"/>
  <c r="AU94" i="16"/>
  <c r="BA94" i="16" s="1"/>
  <c r="AK94" i="16"/>
  <c r="DC94" i="16"/>
  <c r="CS94" i="16"/>
  <c r="CY94" i="16" s="1"/>
  <c r="AA94" i="16"/>
  <c r="Q94" i="16"/>
  <c r="DW94" i="16"/>
  <c r="EC94" i="16" s="1"/>
  <c r="BE94" i="16"/>
  <c r="BK94" i="16" s="1"/>
  <c r="DM94" i="16"/>
  <c r="BY94" i="16"/>
  <c r="CE94" i="16" s="1"/>
  <c r="BO94" i="16"/>
  <c r="G94" i="16"/>
  <c r="K68" i="16"/>
  <c r="GO104" i="16"/>
  <c r="GU104" i="16" s="1"/>
  <c r="GE104" i="16"/>
  <c r="GK104" i="16" s="1"/>
  <c r="FK104" i="16"/>
  <c r="FQ104" i="16" s="1"/>
  <c r="DW104" i="16"/>
  <c r="EC104" i="16" s="1"/>
  <c r="DM104" i="16"/>
  <c r="DS104" i="16" s="1"/>
  <c r="EQ104" i="16"/>
  <c r="EW104" i="16" s="1"/>
  <c r="FA104" i="16"/>
  <c r="FG104" i="16" s="1"/>
  <c r="BE104" i="16"/>
  <c r="FU104" i="16"/>
  <c r="BY104" i="16"/>
  <c r="BO104" i="16"/>
  <c r="BU104" i="16" s="1"/>
  <c r="EG104" i="16"/>
  <c r="AU104" i="16"/>
  <c r="BA104" i="16" s="1"/>
  <c r="AK104" i="16"/>
  <c r="AQ104" i="16" s="1"/>
  <c r="Q104" i="16"/>
  <c r="AA104" i="16"/>
  <c r="AG104" i="16" s="1"/>
  <c r="G104" i="16"/>
  <c r="DC104" i="16"/>
  <c r="CS104" i="16"/>
  <c r="CY104" i="16" s="1"/>
  <c r="CI104" i="16"/>
  <c r="I8" i="16"/>
  <c r="FM112" i="16"/>
  <c r="AC32" i="16"/>
  <c r="GQ82" i="16"/>
  <c r="AM82" i="16"/>
  <c r="BQ42" i="16"/>
  <c r="CK102" i="16"/>
  <c r="FW77" i="16"/>
  <c r="DE87" i="16"/>
  <c r="DO92" i="16"/>
  <c r="CK72" i="16"/>
  <c r="CM8" i="16"/>
  <c r="CK8" i="16"/>
  <c r="CW8" i="16"/>
  <c r="CU8" i="16"/>
  <c r="EI7" i="16"/>
  <c r="EK8" i="16"/>
  <c r="EI8" i="16"/>
  <c r="BG7" i="16"/>
  <c r="BI8" i="16"/>
  <c r="BG8" i="16"/>
  <c r="EA8" i="16"/>
  <c r="DY8" i="16"/>
  <c r="GI58" i="16"/>
  <c r="GG58" i="16"/>
  <c r="CW58" i="16"/>
  <c r="CU58" i="16"/>
  <c r="AY58" i="16"/>
  <c r="AW58" i="16"/>
  <c r="FC58" i="16"/>
  <c r="FE58" i="16"/>
  <c r="AE109" i="16"/>
  <c r="AC109" i="16"/>
  <c r="CM109" i="16"/>
  <c r="CK109" i="16"/>
  <c r="DO109" i="16"/>
  <c r="DQ109" i="16"/>
  <c r="FC109" i="16"/>
  <c r="FE109" i="16"/>
  <c r="DG23" i="16"/>
  <c r="EA23" i="16"/>
  <c r="BS23" i="16"/>
  <c r="EU23" i="16"/>
  <c r="FO39" i="16"/>
  <c r="FM39" i="16"/>
  <c r="EA39" i="16"/>
  <c r="DY39" i="16"/>
  <c r="CM39" i="16"/>
  <c r="CK39" i="16"/>
  <c r="FY39" i="16"/>
  <c r="FW39" i="16"/>
  <c r="AC123" i="16"/>
  <c r="AE124" i="16"/>
  <c r="AC124" i="16"/>
  <c r="CU124" i="16"/>
  <c r="CW124" i="16"/>
  <c r="DG124" i="16"/>
  <c r="DE124" i="16"/>
  <c r="BI124" i="16"/>
  <c r="BG124" i="16"/>
  <c r="DO123" i="16"/>
  <c r="DQ124" i="16"/>
  <c r="DO124" i="16"/>
  <c r="DO57" i="16"/>
  <c r="BG102" i="16"/>
  <c r="DO17" i="16"/>
  <c r="FY88" i="16"/>
  <c r="BS88" i="16"/>
  <c r="EU88" i="16"/>
  <c r="GI88" i="16"/>
  <c r="FO103" i="16"/>
  <c r="DG103" i="16"/>
  <c r="AO103" i="16"/>
  <c r="CC103" i="16"/>
  <c r="GS103" i="16"/>
  <c r="CK67" i="16"/>
  <c r="CM68" i="16"/>
  <c r="EK68" i="16"/>
  <c r="DO67" i="16"/>
  <c r="DQ68" i="16"/>
  <c r="GG67" i="16"/>
  <c r="GI68" i="16"/>
  <c r="DO42" i="16"/>
  <c r="CK87" i="16"/>
  <c r="AE98" i="16"/>
  <c r="CW98" i="16"/>
  <c r="AY98" i="16"/>
  <c r="FO98" i="16"/>
  <c r="GS98" i="16"/>
  <c r="CM53" i="16"/>
  <c r="EU53" i="16"/>
  <c r="DG53" i="16"/>
  <c r="FE53" i="16"/>
  <c r="GS53" i="16"/>
  <c r="EU93" i="16"/>
  <c r="BS93" i="16"/>
  <c r="CW93" i="16"/>
  <c r="EK93" i="16"/>
  <c r="GS93" i="16"/>
  <c r="AE59" i="16"/>
  <c r="AC59" i="16"/>
  <c r="AO59" i="16"/>
  <c r="AM59" i="16"/>
  <c r="BS59" i="16"/>
  <c r="BQ59" i="16"/>
  <c r="EU59" i="16"/>
  <c r="ES59" i="16"/>
  <c r="GI59" i="16"/>
  <c r="GG59" i="16"/>
  <c r="AE18" i="16"/>
  <c r="AO18" i="16"/>
  <c r="EK18" i="16"/>
  <c r="GS18" i="16"/>
  <c r="FC108" i="16"/>
  <c r="FW57" i="16"/>
  <c r="GG12" i="16"/>
  <c r="AC38" i="16"/>
  <c r="DY17" i="16"/>
  <c r="ES22" i="16"/>
  <c r="FC52" i="16"/>
  <c r="AO13" i="16"/>
  <c r="CM13" i="16"/>
  <c r="BI13" i="16"/>
  <c r="DQ13" i="16"/>
  <c r="FO13" i="16"/>
  <c r="BS73" i="16"/>
  <c r="AY73" i="16"/>
  <c r="EU73" i="16"/>
  <c r="DQ73" i="16"/>
  <c r="GI73" i="16"/>
  <c r="DG119" i="16"/>
  <c r="DE119" i="16"/>
  <c r="DY119" i="16"/>
  <c r="EA119" i="16"/>
  <c r="BQ118" i="16"/>
  <c r="BS119" i="16"/>
  <c r="BQ119" i="16"/>
  <c r="EU119" i="16"/>
  <c r="ES119" i="16"/>
  <c r="AE28" i="16"/>
  <c r="AM27" i="16"/>
  <c r="AO28" i="16"/>
  <c r="BQ27" i="16"/>
  <c r="BS28" i="16"/>
  <c r="BI28" i="16"/>
  <c r="DY27" i="16"/>
  <c r="EA28" i="16"/>
  <c r="EI32" i="16"/>
  <c r="BQ87" i="16"/>
  <c r="EI92" i="16"/>
  <c r="AC7" i="16"/>
  <c r="AC9" i="16"/>
  <c r="AE9" i="16"/>
  <c r="DY9" i="16"/>
  <c r="EA9" i="16"/>
  <c r="FW9" i="16"/>
  <c r="FY9" i="16"/>
  <c r="BI83" i="16"/>
  <c r="EK83" i="16"/>
  <c r="DY42" i="16"/>
  <c r="CA102" i="16"/>
  <c r="DE17" i="16"/>
  <c r="GQ52" i="16"/>
  <c r="DE77" i="16"/>
  <c r="DQ78" i="16"/>
  <c r="AE78" i="16"/>
  <c r="AY78" i="16"/>
  <c r="GS78" i="16"/>
  <c r="GI78" i="16"/>
  <c r="AY33" i="16"/>
  <c r="BI33" i="16"/>
  <c r="DG33" i="16"/>
  <c r="FE33" i="16"/>
  <c r="GS33" i="16"/>
  <c r="CM113" i="16"/>
  <c r="DG113" i="16"/>
  <c r="FE113" i="16"/>
  <c r="GS113" i="16"/>
  <c r="GE54" i="16"/>
  <c r="GO54" i="16"/>
  <c r="GU54" i="16" s="1"/>
  <c r="FU54" i="16"/>
  <c r="GA54" i="16" s="1"/>
  <c r="FA54" i="16"/>
  <c r="EG54" i="16"/>
  <c r="EQ54" i="16"/>
  <c r="CI54" i="16"/>
  <c r="CO54" i="16" s="1"/>
  <c r="AU54" i="16"/>
  <c r="BA54" i="16" s="1"/>
  <c r="AK54" i="16"/>
  <c r="DC54" i="16"/>
  <c r="DI54" i="16" s="1"/>
  <c r="CS54" i="16"/>
  <c r="CY54" i="16" s="1"/>
  <c r="AA54" i="16"/>
  <c r="AG54" i="16" s="1"/>
  <c r="DM54" i="16"/>
  <c r="Q54" i="16"/>
  <c r="BE54" i="16"/>
  <c r="BK54" i="16" s="1"/>
  <c r="FK54" i="16"/>
  <c r="FQ54" i="16" s="1"/>
  <c r="BY54" i="16"/>
  <c r="BO54" i="16"/>
  <c r="BU54" i="16" s="1"/>
  <c r="DW54" i="16"/>
  <c r="EC54" i="16" s="1"/>
  <c r="G54" i="16"/>
  <c r="AO8" i="16"/>
  <c r="AM8" i="16"/>
  <c r="EU8" i="16"/>
  <c r="ES8" i="16"/>
  <c r="CC58" i="16"/>
  <c r="CA58" i="16"/>
  <c r="EA58" i="16"/>
  <c r="DY58" i="16"/>
  <c r="AW109" i="16"/>
  <c r="AY109" i="16"/>
  <c r="CW109" i="16"/>
  <c r="CU109" i="16"/>
  <c r="FW109" i="16"/>
  <c r="FY109" i="16"/>
  <c r="AY23" i="16"/>
  <c r="GS23" i="16"/>
  <c r="GS39" i="16"/>
  <c r="GQ39" i="16"/>
  <c r="AY124" i="16"/>
  <c r="AW124" i="16"/>
  <c r="FW123" i="16"/>
  <c r="FY124" i="16"/>
  <c r="FW124" i="16"/>
  <c r="CW88" i="16"/>
  <c r="BG87" i="16"/>
  <c r="BI88" i="16"/>
  <c r="EA103" i="16"/>
  <c r="FY103" i="16"/>
  <c r="AM67" i="16"/>
  <c r="AO68" i="16"/>
  <c r="ES67" i="16"/>
  <c r="EU68" i="16"/>
  <c r="GO99" i="16"/>
  <c r="GE99" i="16"/>
  <c r="GK99" i="16" s="1"/>
  <c r="FU99" i="16"/>
  <c r="FK99" i="16"/>
  <c r="FA99" i="16"/>
  <c r="FG99" i="16" s="1"/>
  <c r="EQ99" i="16"/>
  <c r="EW99" i="16" s="1"/>
  <c r="EG99" i="16"/>
  <c r="EM99" i="16" s="1"/>
  <c r="BY99" i="16"/>
  <c r="CE99" i="16" s="1"/>
  <c r="BO99" i="16"/>
  <c r="DW99" i="16"/>
  <c r="EC99" i="16" s="1"/>
  <c r="CI99" i="16"/>
  <c r="CO99" i="16" s="1"/>
  <c r="AU99" i="16"/>
  <c r="AK99" i="16"/>
  <c r="AQ99" i="16" s="1"/>
  <c r="CS99" i="16"/>
  <c r="CY99" i="16" s="1"/>
  <c r="BE99" i="16"/>
  <c r="G99" i="16"/>
  <c r="AA99" i="16"/>
  <c r="DM99" i="16"/>
  <c r="DS99" i="16" s="1"/>
  <c r="DC99" i="16"/>
  <c r="DI99" i="16" s="1"/>
  <c r="Q99" i="16"/>
  <c r="DQ98" i="16"/>
  <c r="FY98" i="16"/>
  <c r="FW98" i="16"/>
  <c r="BS53" i="16"/>
  <c r="EA53" i="16"/>
  <c r="AY93" i="16"/>
  <c r="BG92" i="16"/>
  <c r="BI93" i="16"/>
  <c r="FO93" i="16"/>
  <c r="BI59" i="16"/>
  <c r="BG59" i="16"/>
  <c r="FY59" i="16"/>
  <c r="FW59" i="16"/>
  <c r="FY18" i="16"/>
  <c r="AW108" i="16"/>
  <c r="DY102" i="16"/>
  <c r="BS13" i="16"/>
  <c r="EK13" i="16"/>
  <c r="CW73" i="16"/>
  <c r="FY73" i="16"/>
  <c r="AY119" i="16"/>
  <c r="AW119" i="16"/>
  <c r="GQ119" i="16"/>
  <c r="GS119" i="16"/>
  <c r="EK28" i="16"/>
  <c r="GI28" i="16"/>
  <c r="DE9" i="16"/>
  <c r="DG9" i="16"/>
  <c r="EA113" i="16"/>
  <c r="FU14" i="16"/>
  <c r="GA14" i="16" s="1"/>
  <c r="FK14" i="16"/>
  <c r="FA14" i="16"/>
  <c r="GO14" i="16"/>
  <c r="GU14" i="16" s="1"/>
  <c r="EG14" i="16"/>
  <c r="EQ14" i="16"/>
  <c r="EW14" i="16" s="1"/>
  <c r="CI14" i="16"/>
  <c r="AU14" i="16"/>
  <c r="BA14" i="16" s="1"/>
  <c r="AK14" i="16"/>
  <c r="GE14" i="16"/>
  <c r="DC14" i="16"/>
  <c r="CS14" i="16"/>
  <c r="AA14" i="16"/>
  <c r="AG14" i="16" s="1"/>
  <c r="BO14" i="16"/>
  <c r="DW14" i="16"/>
  <c r="BE14" i="16"/>
  <c r="DM14" i="16"/>
  <c r="DS14" i="16" s="1"/>
  <c r="BY14" i="16"/>
  <c r="CE14" i="16" s="1"/>
  <c r="Q14" i="16"/>
  <c r="G14" i="16"/>
  <c r="M14" i="16" s="1"/>
  <c r="EI108" i="16"/>
  <c r="FY8" i="16"/>
  <c r="FW8" i="16"/>
  <c r="GS8" i="16"/>
  <c r="GQ8" i="16"/>
  <c r="AE58" i="16"/>
  <c r="AC58" i="16"/>
  <c r="EI58" i="16"/>
  <c r="EK58" i="16"/>
  <c r="CA109" i="16"/>
  <c r="CC109" i="16"/>
  <c r="GI109" i="16"/>
  <c r="GG109" i="16"/>
  <c r="FE23" i="16"/>
  <c r="FY23" i="16"/>
  <c r="AE43" i="16"/>
  <c r="DG39" i="16"/>
  <c r="DE39" i="16"/>
  <c r="AW39" i="16"/>
  <c r="AY39" i="16"/>
  <c r="GI39" i="16"/>
  <c r="GG39" i="16"/>
  <c r="GS124" i="16"/>
  <c r="GQ124" i="16"/>
  <c r="AW123" i="16"/>
  <c r="AW92" i="16"/>
  <c r="CA7" i="16"/>
  <c r="AE88" i="16"/>
  <c r="FE88" i="16"/>
  <c r="FO88" i="16"/>
  <c r="AE103" i="16"/>
  <c r="BS103" i="16"/>
  <c r="AW67" i="16"/>
  <c r="AY68" i="16"/>
  <c r="FC67" i="16"/>
  <c r="FE68" i="16"/>
  <c r="BQ82" i="16"/>
  <c r="DE38" i="16"/>
  <c r="ES102" i="16"/>
  <c r="BG17" i="16"/>
  <c r="DY52" i="16"/>
  <c r="EU98" i="16"/>
  <c r="EK98" i="16"/>
  <c r="CW53" i="16"/>
  <c r="GI53" i="16"/>
  <c r="GI93" i="16"/>
  <c r="FY93" i="16"/>
  <c r="CU59" i="16"/>
  <c r="CW59" i="16"/>
  <c r="GS59" i="16"/>
  <c r="GQ59" i="16"/>
  <c r="EU18" i="16"/>
  <c r="GI18" i="16"/>
  <c r="AW112" i="16"/>
  <c r="FM87" i="16"/>
  <c r="DO7" i="16"/>
  <c r="DG13" i="16"/>
  <c r="GS13" i="16"/>
  <c r="AO73" i="16"/>
  <c r="DG73" i="16"/>
  <c r="GS73" i="16"/>
  <c r="FY119" i="16"/>
  <c r="FW119" i="16"/>
  <c r="CW28" i="16"/>
  <c r="FM27" i="16"/>
  <c r="FO28" i="16"/>
  <c r="GQ27" i="16"/>
  <c r="GS28" i="16"/>
  <c r="CC78" i="16"/>
  <c r="K119" i="16"/>
  <c r="D14" i="16"/>
  <c r="D98" i="16"/>
  <c r="GO44" i="16"/>
  <c r="GE44" i="16"/>
  <c r="FU44" i="16"/>
  <c r="FK44" i="16"/>
  <c r="DW44" i="16"/>
  <c r="DM44" i="16"/>
  <c r="FA44" i="16"/>
  <c r="EQ44" i="16"/>
  <c r="BE44" i="16"/>
  <c r="BK44" i="16" s="1"/>
  <c r="EG44" i="16"/>
  <c r="EM44" i="16" s="1"/>
  <c r="BY44" i="16"/>
  <c r="BO44" i="16"/>
  <c r="DC44" i="16"/>
  <c r="Q44" i="16"/>
  <c r="AU44" i="16"/>
  <c r="AK44" i="16"/>
  <c r="CS44" i="16"/>
  <c r="CI44" i="16"/>
  <c r="CO44" i="16" s="1"/>
  <c r="G44" i="16"/>
  <c r="AA44" i="16"/>
  <c r="AG44" i="16" s="1"/>
  <c r="GO24" i="16"/>
  <c r="GU24" i="16" s="1"/>
  <c r="GE24" i="16"/>
  <c r="FK24" i="16"/>
  <c r="FQ24" i="16" s="1"/>
  <c r="DW24" i="16"/>
  <c r="DM24" i="16"/>
  <c r="DS24" i="16" s="1"/>
  <c r="EQ24" i="16"/>
  <c r="EW24" i="16" s="1"/>
  <c r="FA24" i="16"/>
  <c r="FG24" i="16" s="1"/>
  <c r="BE24" i="16"/>
  <c r="BK24" i="16" s="1"/>
  <c r="BY24" i="16"/>
  <c r="CE24" i="16" s="1"/>
  <c r="BO24" i="16"/>
  <c r="EG24" i="16"/>
  <c r="AU24" i="16"/>
  <c r="BA24" i="16" s="1"/>
  <c r="AK24" i="16"/>
  <c r="Q24" i="16"/>
  <c r="CS24" i="16"/>
  <c r="CY24" i="16" s="1"/>
  <c r="AA24" i="16"/>
  <c r="G24" i="16"/>
  <c r="FU24" i="16"/>
  <c r="DC24" i="16"/>
  <c r="DI24" i="16" s="1"/>
  <c r="CI24" i="16"/>
  <c r="CO24" i="16" s="1"/>
  <c r="GO19" i="16"/>
  <c r="GU19" i="16" s="1"/>
  <c r="GE19" i="16"/>
  <c r="GK19" i="16" s="1"/>
  <c r="FU19" i="16"/>
  <c r="GA19" i="16" s="1"/>
  <c r="FK19" i="16"/>
  <c r="FQ19" i="16" s="1"/>
  <c r="FA19" i="16"/>
  <c r="EQ19" i="16"/>
  <c r="EG19" i="16"/>
  <c r="BY19" i="16"/>
  <c r="CE19" i="16" s="1"/>
  <c r="BO19" i="16"/>
  <c r="BU19" i="16" s="1"/>
  <c r="DW19" i="16"/>
  <c r="EC19" i="16" s="1"/>
  <c r="CI19" i="16"/>
  <c r="AU19" i="16"/>
  <c r="BA19" i="16" s="1"/>
  <c r="AK19" i="16"/>
  <c r="AQ19" i="16" s="1"/>
  <c r="CS19" i="16"/>
  <c r="BE19" i="16"/>
  <c r="BK19" i="16" s="1"/>
  <c r="G19" i="16"/>
  <c r="DC19" i="16"/>
  <c r="AA19" i="16"/>
  <c r="DM19" i="16"/>
  <c r="DS19" i="16" s="1"/>
  <c r="Q19" i="16"/>
  <c r="GO114" i="16"/>
  <c r="GE114" i="16"/>
  <c r="FU114" i="16"/>
  <c r="GA114" i="16" s="1"/>
  <c r="FA114" i="16"/>
  <c r="FG114" i="16" s="1"/>
  <c r="EG114" i="16"/>
  <c r="DW114" i="16"/>
  <c r="CI114" i="16"/>
  <c r="CO114" i="16" s="1"/>
  <c r="AU114" i="16"/>
  <c r="AK114" i="16"/>
  <c r="AQ114" i="16" s="1"/>
  <c r="FK114" i="16"/>
  <c r="DM114" i="16"/>
  <c r="DS114" i="16" s="1"/>
  <c r="DC114" i="16"/>
  <c r="CS114" i="16"/>
  <c r="EQ114" i="16"/>
  <c r="BY114" i="16"/>
  <c r="CE114" i="16" s="1"/>
  <c r="BO114" i="16"/>
  <c r="BU114" i="16" s="1"/>
  <c r="AA114" i="16"/>
  <c r="Q114" i="16"/>
  <c r="BE114" i="16"/>
  <c r="BK114" i="16" s="1"/>
  <c r="G114" i="16"/>
  <c r="GO74" i="16"/>
  <c r="GU74" i="16" s="1"/>
  <c r="GE74" i="16"/>
  <c r="FU74" i="16"/>
  <c r="GA74" i="16" s="1"/>
  <c r="FK74" i="16"/>
  <c r="FQ74" i="16" s="1"/>
  <c r="FA74" i="16"/>
  <c r="FG74" i="16" s="1"/>
  <c r="EG74" i="16"/>
  <c r="EM74" i="16" s="1"/>
  <c r="DW74" i="16"/>
  <c r="EC74" i="16" s="1"/>
  <c r="CI74" i="16"/>
  <c r="AU74" i="16"/>
  <c r="AK74" i="16"/>
  <c r="DM74" i="16"/>
  <c r="DC74" i="16"/>
  <c r="DI74" i="16" s="1"/>
  <c r="CS74" i="16"/>
  <c r="AA74" i="16"/>
  <c r="BY74" i="16"/>
  <c r="CE74" i="16" s="1"/>
  <c r="BO74" i="16"/>
  <c r="BU74" i="16" s="1"/>
  <c r="EQ74" i="16"/>
  <c r="Q74" i="16"/>
  <c r="BE74" i="16"/>
  <c r="BK74" i="16" s="1"/>
  <c r="G74" i="16"/>
  <c r="GO89" i="16"/>
  <c r="GU89" i="16" s="1"/>
  <c r="FU89" i="16"/>
  <c r="FK89" i="16"/>
  <c r="GE89" i="16"/>
  <c r="FA89" i="16"/>
  <c r="EG89" i="16"/>
  <c r="EM89" i="16" s="1"/>
  <c r="DW89" i="16"/>
  <c r="EC89" i="16" s="1"/>
  <c r="DM89" i="16"/>
  <c r="DS89" i="16" s="1"/>
  <c r="DC89" i="16"/>
  <c r="CS89" i="16"/>
  <c r="EQ89" i="16"/>
  <c r="EW89" i="16" s="1"/>
  <c r="BE89" i="16"/>
  <c r="CI89" i="16"/>
  <c r="G89" i="16"/>
  <c r="M89" i="16" s="1"/>
  <c r="N89" i="16" s="1"/>
  <c r="AU89" i="16"/>
  <c r="BA89" i="16" s="1"/>
  <c r="AK89" i="16"/>
  <c r="AQ89" i="16" s="1"/>
  <c r="Q89" i="16"/>
  <c r="BY89" i="16"/>
  <c r="BO89" i="16"/>
  <c r="AA89" i="16"/>
  <c r="GQ108" i="16"/>
  <c r="FM42" i="16"/>
  <c r="CU102" i="16"/>
  <c r="AW52" i="16"/>
  <c r="ES77" i="16"/>
  <c r="AW118" i="16"/>
  <c r="AC92" i="16"/>
  <c r="EI72" i="16"/>
  <c r="DG8" i="16"/>
  <c r="DE8" i="16"/>
  <c r="BS8" i="16"/>
  <c r="BQ8" i="16"/>
  <c r="FE8" i="16"/>
  <c r="FC8" i="16"/>
  <c r="FO8" i="16"/>
  <c r="FM8" i="16"/>
  <c r="BG58" i="16"/>
  <c r="BI58" i="16"/>
  <c r="BS58" i="16"/>
  <c r="BQ58" i="16"/>
  <c r="DE58" i="16"/>
  <c r="DG58" i="16"/>
  <c r="CK58" i="16"/>
  <c r="CM58" i="16"/>
  <c r="FM58" i="16"/>
  <c r="FO58" i="16"/>
  <c r="AM109" i="16"/>
  <c r="AO109" i="16"/>
  <c r="BG108" i="16"/>
  <c r="BI109" i="16"/>
  <c r="BG109" i="16"/>
  <c r="DY109" i="16"/>
  <c r="EA109" i="16"/>
  <c r="FO109" i="16"/>
  <c r="FM109" i="16"/>
  <c r="BI23" i="16"/>
  <c r="AO23" i="16"/>
  <c r="CC23" i="16"/>
  <c r="FO23" i="16"/>
  <c r="BI43" i="16"/>
  <c r="CM43" i="16"/>
  <c r="EK43" i="16"/>
  <c r="EK39" i="16"/>
  <c r="EI39" i="16"/>
  <c r="BI39" i="16"/>
  <c r="BG39" i="16"/>
  <c r="FE39" i="16"/>
  <c r="FC39" i="16"/>
  <c r="BS39" i="16"/>
  <c r="BQ39" i="16"/>
  <c r="ES39" i="16"/>
  <c r="EU39" i="16"/>
  <c r="AM123" i="16"/>
  <c r="AO124" i="16"/>
  <c r="AM124" i="16"/>
  <c r="FO124" i="16"/>
  <c r="FM124" i="16"/>
  <c r="BS124" i="16"/>
  <c r="BQ124" i="16"/>
  <c r="EU124" i="16"/>
  <c r="ES124" i="16"/>
  <c r="EA124" i="16"/>
  <c r="DY124" i="16"/>
  <c r="CA82" i="16"/>
  <c r="CU12" i="16"/>
  <c r="GQ38" i="16"/>
  <c r="EI42" i="16"/>
  <c r="FW97" i="16"/>
  <c r="AW7" i="16"/>
  <c r="AO88" i="16"/>
  <c r="CC88" i="16"/>
  <c r="DQ88" i="16"/>
  <c r="GS88" i="16"/>
  <c r="AY103" i="16"/>
  <c r="DQ103" i="16"/>
  <c r="GI103" i="16"/>
  <c r="CW68" i="16"/>
  <c r="DE67" i="16"/>
  <c r="DG68" i="16"/>
  <c r="BI68" i="16"/>
  <c r="DY67" i="16"/>
  <c r="EA68" i="16"/>
  <c r="GQ67" i="16"/>
  <c r="GS68" i="16"/>
  <c r="AM57" i="16"/>
  <c r="ES12" i="16"/>
  <c r="FW38" i="16"/>
  <c r="FW42" i="16"/>
  <c r="CU118" i="16"/>
  <c r="DY97" i="16"/>
  <c r="BS98" i="16"/>
  <c r="DG98" i="16"/>
  <c r="CM98" i="16"/>
  <c r="FE98" i="16"/>
  <c r="AO53" i="16"/>
  <c r="BI53" i="16"/>
  <c r="DQ53" i="16"/>
  <c r="FO53" i="16"/>
  <c r="AO93" i="16"/>
  <c r="CC93" i="16"/>
  <c r="DG93" i="16"/>
  <c r="FE93" i="16"/>
  <c r="AY59" i="16"/>
  <c r="AW59" i="16"/>
  <c r="CC59" i="16"/>
  <c r="CA59" i="16"/>
  <c r="FE59" i="16"/>
  <c r="FC59" i="16"/>
  <c r="BS18" i="16"/>
  <c r="CW18" i="16"/>
  <c r="AY18" i="16"/>
  <c r="FE18" i="16"/>
  <c r="FW108" i="16"/>
  <c r="AM108" i="16"/>
  <c r="ES112" i="16"/>
  <c r="CU112" i="16"/>
  <c r="CU32" i="16"/>
  <c r="CA57" i="16"/>
  <c r="EI12" i="16"/>
  <c r="AW38" i="16"/>
  <c r="CA38" i="16"/>
  <c r="FC42" i="16"/>
  <c r="CU42" i="16"/>
  <c r="GG102" i="16"/>
  <c r="AW102" i="16"/>
  <c r="FW22" i="16"/>
  <c r="DE22" i="16"/>
  <c r="FW52" i="16"/>
  <c r="DY77" i="16"/>
  <c r="CA87" i="16"/>
  <c r="AC87" i="16"/>
  <c r="GQ97" i="16"/>
  <c r="DE97" i="16"/>
  <c r="AM97" i="16"/>
  <c r="FM92" i="16"/>
  <c r="GG7" i="16"/>
  <c r="CK7" i="16"/>
  <c r="DE7" i="16"/>
  <c r="AY13" i="16"/>
  <c r="AE13" i="16"/>
  <c r="EA13" i="16"/>
  <c r="FY13" i="16"/>
  <c r="CC73" i="16"/>
  <c r="AE73" i="16"/>
  <c r="EA73" i="16"/>
  <c r="FO73" i="16"/>
  <c r="EK119" i="16"/>
  <c r="EI119" i="16"/>
  <c r="BI119" i="16"/>
  <c r="BG119" i="16"/>
  <c r="AO119" i="16"/>
  <c r="AM119" i="16"/>
  <c r="CC119" i="16"/>
  <c r="CA119" i="16"/>
  <c r="FO119" i="16"/>
  <c r="FM119" i="16"/>
  <c r="AW27" i="16"/>
  <c r="AY28" i="16"/>
  <c r="CA27" i="16"/>
  <c r="CC28" i="16"/>
  <c r="ES27" i="16"/>
  <c r="EU28" i="16"/>
  <c r="FW27" i="16"/>
  <c r="FY28" i="16"/>
  <c r="GI64" i="16"/>
  <c r="GG64" i="16"/>
  <c r="BQ108" i="16"/>
  <c r="CU108" i="16"/>
  <c r="AW57" i="16"/>
  <c r="AM38" i="16"/>
  <c r="BQ17" i="16"/>
  <c r="CU22" i="16"/>
  <c r="FM52" i="16"/>
  <c r="GQ118" i="16"/>
  <c r="FW92" i="16"/>
  <c r="AO9" i="16"/>
  <c r="AM9" i="16"/>
  <c r="CK9" i="16"/>
  <c r="CM9" i="16"/>
  <c r="CW9" i="16"/>
  <c r="CU9" i="16"/>
  <c r="EK9" i="16"/>
  <c r="EI9" i="16"/>
  <c r="GI9" i="16"/>
  <c r="GG9" i="16"/>
  <c r="CW83" i="16"/>
  <c r="BG27" i="16"/>
  <c r="BG57" i="16"/>
  <c r="FC82" i="16"/>
  <c r="FM12" i="16"/>
  <c r="FW102" i="16"/>
  <c r="EI22" i="16"/>
  <c r="CK118" i="16"/>
  <c r="FM97" i="16"/>
  <c r="DY92" i="16"/>
  <c r="ES7" i="16"/>
  <c r="BI78" i="16"/>
  <c r="CW78" i="16"/>
  <c r="CM78" i="16"/>
  <c r="FE78" i="16"/>
  <c r="BS33" i="16"/>
  <c r="CC33" i="16"/>
  <c r="EU33" i="16"/>
  <c r="DQ33" i="16"/>
  <c r="FO33" i="16"/>
  <c r="AE113" i="16"/>
  <c r="AO113" i="16"/>
  <c r="BI113" i="16"/>
  <c r="DQ113" i="16"/>
  <c r="GI113" i="16"/>
  <c r="S119" i="16"/>
  <c r="U119" i="16"/>
  <c r="U123" i="16"/>
  <c r="S122" i="16"/>
  <c r="U122" i="16"/>
  <c r="U112" i="16"/>
  <c r="S112" i="16"/>
  <c r="U102" i="16"/>
  <c r="U63" i="16"/>
  <c r="S21" i="16"/>
  <c r="U21" i="16"/>
  <c r="S20" i="16"/>
  <c r="U37" i="16"/>
  <c r="S36" i="16"/>
  <c r="S111" i="16"/>
  <c r="U72" i="16"/>
  <c r="U32" i="16"/>
  <c r="S97" i="16"/>
  <c r="U97" i="16"/>
  <c r="U59" i="16"/>
  <c r="S59" i="16"/>
  <c r="U27" i="16"/>
  <c r="S58" i="16"/>
  <c r="U58" i="16"/>
  <c r="U56" i="16"/>
  <c r="S55" i="16"/>
  <c r="S121" i="16"/>
  <c r="U77" i="16"/>
  <c r="S49" i="16"/>
  <c r="U49" i="16"/>
  <c r="U39" i="16"/>
  <c r="S39" i="16"/>
  <c r="U62" i="16"/>
  <c r="S62" i="16"/>
  <c r="S61" i="16"/>
  <c r="U108" i="16"/>
  <c r="S108" i="16"/>
  <c r="S109" i="16"/>
  <c r="U109" i="16"/>
  <c r="U22" i="16"/>
  <c r="U52" i="16"/>
  <c r="S52" i="16"/>
  <c r="U96" i="16"/>
  <c r="S96" i="16"/>
  <c r="S95" i="16"/>
  <c r="U86" i="16"/>
  <c r="S85" i="16"/>
  <c r="S31" i="16"/>
  <c r="S71" i="16"/>
  <c r="S76" i="16"/>
  <c r="S26" i="16"/>
  <c r="U48" i="16"/>
  <c r="S48" i="16"/>
  <c r="U82" i="16"/>
  <c r="U67" i="16"/>
  <c r="S118" i="16"/>
  <c r="U118" i="16"/>
  <c r="S101" i="16"/>
  <c r="U7" i="16"/>
  <c r="S7" i="16"/>
  <c r="S6" i="16"/>
  <c r="U12" i="16"/>
  <c r="U8" i="16"/>
  <c r="D89" i="16"/>
  <c r="D78" i="16"/>
  <c r="I17" i="16"/>
  <c r="I9" i="16"/>
  <c r="S8" i="16" s="1"/>
  <c r="I42" i="16"/>
  <c r="D83" i="16"/>
  <c r="D28" i="16"/>
  <c r="K88" i="16"/>
  <c r="I87" i="16"/>
  <c r="I38" i="16"/>
  <c r="D68" i="16"/>
  <c r="K58" i="16"/>
  <c r="I57" i="16"/>
  <c r="D43" i="16"/>
  <c r="D18" i="16"/>
  <c r="D88" i="16"/>
  <c r="D33" i="16"/>
  <c r="D34" i="16"/>
  <c r="D54" i="16"/>
  <c r="D93" i="16"/>
  <c r="D73" i="16"/>
  <c r="D79" i="16"/>
  <c r="D74" i="16"/>
  <c r="I92" i="16"/>
  <c r="D104" i="16"/>
  <c r="D53" i="16"/>
  <c r="D69" i="16"/>
  <c r="D94" i="16"/>
  <c r="D19" i="16"/>
  <c r="K28" i="16"/>
  <c r="D113" i="16"/>
  <c r="D23" i="16"/>
  <c r="D114" i="16"/>
  <c r="D84" i="16"/>
  <c r="D29" i="16"/>
  <c r="D24" i="16"/>
  <c r="D44" i="16"/>
  <c r="K124" i="16"/>
  <c r="I124" i="16"/>
  <c r="AR108" i="16" l="1"/>
  <c r="CZ58" i="16"/>
  <c r="CP118" i="16"/>
  <c r="CF38" i="16"/>
  <c r="BV118" i="16"/>
  <c r="X8" i="16"/>
  <c r="GB123" i="16"/>
  <c r="DT118" i="16"/>
  <c r="BB123" i="16"/>
  <c r="X108" i="16"/>
  <c r="GB38" i="16"/>
  <c r="AR8" i="16"/>
  <c r="GV8" i="16"/>
  <c r="BB38" i="16"/>
  <c r="X118" i="16"/>
  <c r="DJ38" i="16"/>
  <c r="CZ108" i="16"/>
  <c r="CP123" i="16"/>
  <c r="GV108" i="16"/>
  <c r="BV108" i="16"/>
  <c r="GB108" i="16"/>
  <c r="EN58" i="16"/>
  <c r="FR8" i="16"/>
  <c r="DQ64" i="16"/>
  <c r="DT123" i="16"/>
  <c r="AR123" i="16"/>
  <c r="GV58" i="16"/>
  <c r="ED58" i="16"/>
  <c r="CF123" i="16"/>
  <c r="X58" i="16"/>
  <c r="GB58" i="16"/>
  <c r="FH8" i="16"/>
  <c r="EN123" i="16"/>
  <c r="DJ108" i="16"/>
  <c r="X38" i="16"/>
  <c r="BL108" i="16"/>
  <c r="BB118" i="16"/>
  <c r="AR38" i="16"/>
  <c r="FH108" i="16"/>
  <c r="CP58" i="16"/>
  <c r="BV58" i="16"/>
  <c r="DT8" i="16"/>
  <c r="BB108" i="16"/>
  <c r="GL58" i="16"/>
  <c r="AH123" i="16"/>
  <c r="X123" i="16"/>
  <c r="CZ118" i="16"/>
  <c r="FH123" i="16"/>
  <c r="EN108" i="16"/>
  <c r="GV118" i="16"/>
  <c r="AH38" i="16"/>
  <c r="GV38" i="16"/>
  <c r="BL58" i="16"/>
  <c r="DT58" i="16"/>
  <c r="CF8" i="16"/>
  <c r="BB8" i="16"/>
  <c r="CF58" i="16"/>
  <c r="EN8" i="16"/>
  <c r="AR58" i="16"/>
  <c r="AH8" i="16"/>
  <c r="GL8" i="16"/>
  <c r="CP8" i="16"/>
  <c r="GB8" i="16"/>
  <c r="EX58" i="16"/>
  <c r="DJ8" i="16"/>
  <c r="BB58" i="16"/>
  <c r="EX8" i="16"/>
  <c r="BU89" i="16"/>
  <c r="BV89" i="16" s="1"/>
  <c r="W89" i="16"/>
  <c r="X89" i="16" s="1"/>
  <c r="CO89" i="16"/>
  <c r="CP89" i="16" s="1"/>
  <c r="DI89" i="16"/>
  <c r="DJ89" i="16" s="1"/>
  <c r="FG89" i="16"/>
  <c r="FH89" i="16" s="1"/>
  <c r="FQ89" i="16"/>
  <c r="FR89" i="16" s="1"/>
  <c r="EW74" i="16"/>
  <c r="EX74" i="16" s="1"/>
  <c r="CY74" i="16"/>
  <c r="CZ74" i="16" s="1"/>
  <c r="DS74" i="16"/>
  <c r="DT74" i="16" s="1"/>
  <c r="BA74" i="16"/>
  <c r="BB74" i="16" s="1"/>
  <c r="AG114" i="16"/>
  <c r="AH114" i="16" s="1"/>
  <c r="CY114" i="16"/>
  <c r="CZ114" i="16" s="1"/>
  <c r="EM114" i="16"/>
  <c r="EN114" i="16" s="1"/>
  <c r="GU114" i="16"/>
  <c r="GV114" i="16" s="1"/>
  <c r="DI19" i="16"/>
  <c r="DJ19" i="16" s="1"/>
  <c r="CO19" i="16"/>
  <c r="CP19" i="16" s="1"/>
  <c r="EM19" i="16"/>
  <c r="EN19" i="16" s="1"/>
  <c r="FG19" i="16"/>
  <c r="FH19" i="16" s="1"/>
  <c r="AQ24" i="16"/>
  <c r="AR24" i="16" s="1"/>
  <c r="EM24" i="16"/>
  <c r="EN24" i="16" s="1"/>
  <c r="CY44" i="16"/>
  <c r="CZ44" i="16" s="1"/>
  <c r="BA44" i="16"/>
  <c r="BB44" i="16" s="1"/>
  <c r="DI44" i="16"/>
  <c r="DJ44" i="16" s="1"/>
  <c r="CE44" i="16"/>
  <c r="CF44" i="16" s="1"/>
  <c r="FG44" i="16"/>
  <c r="FH44" i="16" s="1"/>
  <c r="EC44" i="16"/>
  <c r="ED44" i="16" s="1"/>
  <c r="GA44" i="16"/>
  <c r="GB44" i="16" s="1"/>
  <c r="GU44" i="16"/>
  <c r="GV44" i="16" s="1"/>
  <c r="W14" i="16"/>
  <c r="X14" i="16" s="1"/>
  <c r="EC14" i="16"/>
  <c r="ED14" i="16" s="1"/>
  <c r="DI14" i="16"/>
  <c r="DJ14" i="16" s="1"/>
  <c r="AQ14" i="16"/>
  <c r="AR14" i="16" s="1"/>
  <c r="CO14" i="16"/>
  <c r="CP14" i="16" s="1"/>
  <c r="EM14" i="16"/>
  <c r="EN14" i="16" s="1"/>
  <c r="FG14" i="16"/>
  <c r="FH14" i="16" s="1"/>
  <c r="AG99" i="16"/>
  <c r="AH99" i="16" s="1"/>
  <c r="BK99" i="16"/>
  <c r="BL99" i="16" s="1"/>
  <c r="BU99" i="16"/>
  <c r="BV99" i="16" s="1"/>
  <c r="GA99" i="16"/>
  <c r="GB99" i="16" s="1"/>
  <c r="GU99" i="16"/>
  <c r="GV99" i="16" s="1"/>
  <c r="CE54" i="16"/>
  <c r="CF54" i="16" s="1"/>
  <c r="DS54" i="16"/>
  <c r="DT54" i="16" s="1"/>
  <c r="AQ54" i="16"/>
  <c r="AR54" i="16" s="1"/>
  <c r="EM54" i="16"/>
  <c r="EN54" i="16" s="1"/>
  <c r="GK54" i="16"/>
  <c r="GL54" i="16" s="1"/>
  <c r="W104" i="16"/>
  <c r="X104" i="16" s="1"/>
  <c r="GA104" i="16"/>
  <c r="GB104" i="16" s="1"/>
  <c r="W94" i="16"/>
  <c r="X94" i="16" s="1"/>
  <c r="AQ94" i="16"/>
  <c r="AR94" i="16" s="1"/>
  <c r="BA29" i="16"/>
  <c r="BB29" i="16" s="1"/>
  <c r="EM29" i="16"/>
  <c r="EN29" i="16" s="1"/>
  <c r="AG84" i="16"/>
  <c r="AH84" i="16" s="1"/>
  <c r="CO84" i="16"/>
  <c r="CP84" i="16" s="1"/>
  <c r="AQ84" i="16"/>
  <c r="AR84" i="16" s="1"/>
  <c r="W84" i="16"/>
  <c r="X84" i="16" s="1"/>
  <c r="BU84" i="16"/>
  <c r="BV84" i="16" s="1"/>
  <c r="EM84" i="16"/>
  <c r="EN84" i="16" s="1"/>
  <c r="EW84" i="16"/>
  <c r="EX84" i="16" s="1"/>
  <c r="DS84" i="16"/>
  <c r="DT84" i="16" s="1"/>
  <c r="FQ84" i="16"/>
  <c r="FR84" i="16" s="1"/>
  <c r="GK84" i="16"/>
  <c r="GL84" i="16" s="1"/>
  <c r="W34" i="16"/>
  <c r="X34" i="16" s="1"/>
  <c r="FQ34" i="16"/>
  <c r="FR34" i="16" s="1"/>
  <c r="EC79" i="16"/>
  <c r="ED79" i="16" s="1"/>
  <c r="CO79" i="16"/>
  <c r="CP79" i="16" s="1"/>
  <c r="EW79" i="16"/>
  <c r="EX79" i="16" s="1"/>
  <c r="GK79" i="16"/>
  <c r="GL79" i="16" s="1"/>
  <c r="BK69" i="16"/>
  <c r="BL69" i="16" s="1"/>
  <c r="DS69" i="16"/>
  <c r="DT69" i="16" s="1"/>
  <c r="FQ69" i="16"/>
  <c r="FR69" i="16" s="1"/>
  <c r="W64" i="16"/>
  <c r="X63" i="16" s="1"/>
  <c r="AG89" i="16"/>
  <c r="AH89" i="16" s="1"/>
  <c r="CE89" i="16"/>
  <c r="CF89" i="16" s="1"/>
  <c r="BK89" i="16"/>
  <c r="BL89" i="16" s="1"/>
  <c r="CY89" i="16"/>
  <c r="CZ89" i="16" s="1"/>
  <c r="GK89" i="16"/>
  <c r="GL89" i="16" s="1"/>
  <c r="GA89" i="16"/>
  <c r="GB89" i="16" s="1"/>
  <c r="W74" i="16"/>
  <c r="X74" i="16" s="1"/>
  <c r="AG74" i="16"/>
  <c r="AH74" i="16" s="1"/>
  <c r="AQ74" i="16"/>
  <c r="AR74" i="16" s="1"/>
  <c r="CO74" i="16"/>
  <c r="CP74" i="16" s="1"/>
  <c r="GK74" i="16"/>
  <c r="GL74" i="16" s="1"/>
  <c r="W114" i="16"/>
  <c r="X114" i="16" s="1"/>
  <c r="EW114" i="16"/>
  <c r="EX114" i="16" s="1"/>
  <c r="DI114" i="16"/>
  <c r="DJ114" i="16" s="1"/>
  <c r="FQ114" i="16"/>
  <c r="FR114" i="16" s="1"/>
  <c r="BA114" i="16"/>
  <c r="BB114" i="16" s="1"/>
  <c r="EC114" i="16"/>
  <c r="ED114" i="16" s="1"/>
  <c r="GK114" i="16"/>
  <c r="GL114" i="16" s="1"/>
  <c r="W19" i="16"/>
  <c r="X19" i="16" s="1"/>
  <c r="AG19" i="16"/>
  <c r="AH19" i="16" s="1"/>
  <c r="CY19" i="16"/>
  <c r="CZ19" i="16" s="1"/>
  <c r="EW19" i="16"/>
  <c r="EX19" i="16" s="1"/>
  <c r="GA24" i="16"/>
  <c r="GB24" i="16" s="1"/>
  <c r="AG24" i="16"/>
  <c r="AH24" i="16" s="1"/>
  <c r="W24" i="16"/>
  <c r="X24" i="16" s="1"/>
  <c r="BU24" i="16"/>
  <c r="BV24" i="16" s="1"/>
  <c r="EC24" i="16"/>
  <c r="ED24" i="16" s="1"/>
  <c r="GK24" i="16"/>
  <c r="GL24" i="16" s="1"/>
  <c r="AQ44" i="16"/>
  <c r="AR44" i="16" s="1"/>
  <c r="W44" i="16"/>
  <c r="X44" i="16" s="1"/>
  <c r="BU44" i="16"/>
  <c r="BV44" i="16" s="1"/>
  <c r="EW44" i="16"/>
  <c r="EX44" i="16" s="1"/>
  <c r="DS44" i="16"/>
  <c r="DT44" i="16" s="1"/>
  <c r="FQ44" i="16"/>
  <c r="FR44" i="16" s="1"/>
  <c r="GK44" i="16"/>
  <c r="GL44" i="16" s="1"/>
  <c r="BK14" i="16"/>
  <c r="BL14" i="16" s="1"/>
  <c r="BU14" i="16"/>
  <c r="BV14" i="16" s="1"/>
  <c r="CY14" i="16"/>
  <c r="CZ14" i="16" s="1"/>
  <c r="GK14" i="16"/>
  <c r="GL14" i="16" s="1"/>
  <c r="FQ14" i="16"/>
  <c r="FR14" i="16" s="1"/>
  <c r="W99" i="16"/>
  <c r="X99" i="16" s="1"/>
  <c r="BA99" i="16"/>
  <c r="BB99" i="16" s="1"/>
  <c r="FQ99" i="16"/>
  <c r="FR99" i="16" s="1"/>
  <c r="W54" i="16"/>
  <c r="X54" i="16" s="1"/>
  <c r="EW54" i="16"/>
  <c r="EX54" i="16" s="1"/>
  <c r="FG54" i="16"/>
  <c r="FH54" i="16" s="1"/>
  <c r="CO104" i="16"/>
  <c r="CP104" i="16" s="1"/>
  <c r="DI104" i="16"/>
  <c r="DJ104" i="16" s="1"/>
  <c r="EM104" i="16"/>
  <c r="EN104" i="16" s="1"/>
  <c r="CE104" i="16"/>
  <c r="CF104" i="16" s="1"/>
  <c r="BK104" i="16"/>
  <c r="BL104" i="16" s="1"/>
  <c r="BU94" i="16"/>
  <c r="BV94" i="16" s="1"/>
  <c r="DS94" i="16"/>
  <c r="DT94" i="16" s="1"/>
  <c r="AG94" i="16"/>
  <c r="AH94" i="16" s="1"/>
  <c r="DI94" i="16"/>
  <c r="DJ94" i="16" s="1"/>
  <c r="EW94" i="16"/>
  <c r="EX94" i="16" s="1"/>
  <c r="GU94" i="16"/>
  <c r="GV94" i="16" s="1"/>
  <c r="EW29" i="16"/>
  <c r="EX29" i="16" s="1"/>
  <c r="W29" i="16"/>
  <c r="X29" i="16" s="1"/>
  <c r="AG29" i="16"/>
  <c r="AH29" i="16" s="1"/>
  <c r="EC29" i="16"/>
  <c r="ED29" i="16" s="1"/>
  <c r="FG29" i="16"/>
  <c r="FH29" i="16" s="1"/>
  <c r="GA29" i="16"/>
  <c r="GB29" i="16" s="1"/>
  <c r="BA84" i="16"/>
  <c r="BB84" i="16" s="1"/>
  <c r="DI84" i="16"/>
  <c r="DJ84" i="16" s="1"/>
  <c r="CE84" i="16"/>
  <c r="CF84" i="16" s="1"/>
  <c r="FG84" i="16"/>
  <c r="FH84" i="16" s="1"/>
  <c r="EC84" i="16"/>
  <c r="ED84" i="16" s="1"/>
  <c r="GA84" i="16"/>
  <c r="GB84" i="16" s="1"/>
  <c r="GU84" i="16"/>
  <c r="GV84" i="16" s="1"/>
  <c r="CE34" i="16"/>
  <c r="CF34" i="16" s="1"/>
  <c r="DI34" i="16"/>
  <c r="DJ34" i="16" s="1"/>
  <c r="CO34" i="16"/>
  <c r="CP34" i="16" s="1"/>
  <c r="FG34" i="16"/>
  <c r="FH34" i="16" s="1"/>
  <c r="W79" i="16"/>
  <c r="X79" i="16" s="1"/>
  <c r="GA79" i="16"/>
  <c r="GB79" i="16" s="1"/>
  <c r="FG79" i="16"/>
  <c r="FH79" i="16" s="1"/>
  <c r="W69" i="16"/>
  <c r="X69" i="16" s="1"/>
  <c r="AG69" i="16"/>
  <c r="AH69" i="16" s="1"/>
  <c r="GA69" i="16"/>
  <c r="GB69" i="16" s="1"/>
  <c r="BL8" i="16"/>
  <c r="GL118" i="16"/>
  <c r="ED123" i="16"/>
  <c r="FH7" i="16"/>
  <c r="FR7" i="16"/>
  <c r="EN57" i="16"/>
  <c r="GL57" i="16"/>
  <c r="AR7" i="16"/>
  <c r="EN118" i="16"/>
  <c r="GB118" i="16"/>
  <c r="FR123" i="16"/>
  <c r="ED57" i="16"/>
  <c r="BV57" i="16"/>
  <c r="CP57" i="16"/>
  <c r="GB7" i="16"/>
  <c r="GV7" i="16"/>
  <c r="BL118" i="16"/>
  <c r="AH118" i="16"/>
  <c r="EX123" i="16"/>
  <c r="GV123" i="16"/>
  <c r="GV57" i="16"/>
  <c r="AM88" i="16"/>
  <c r="AR89" i="16"/>
  <c r="DO88" i="16"/>
  <c r="DT89" i="16"/>
  <c r="EI88" i="16"/>
  <c r="BQ73" i="16"/>
  <c r="BV74" i="16"/>
  <c r="DE73" i="16"/>
  <c r="DJ74" i="16"/>
  <c r="EI73" i="16"/>
  <c r="FM73" i="16"/>
  <c r="FR74" i="16"/>
  <c r="BQ113" i="16"/>
  <c r="BV114" i="16"/>
  <c r="FC113" i="16"/>
  <c r="FH114" i="16"/>
  <c r="AW18" i="16"/>
  <c r="BB19" i="16"/>
  <c r="DY18" i="16"/>
  <c r="CA18" i="16"/>
  <c r="FM18" i="16"/>
  <c r="FR19" i="16"/>
  <c r="GG18" i="16"/>
  <c r="GL19" i="16"/>
  <c r="CK23" i="16"/>
  <c r="AW23" i="16"/>
  <c r="BB24" i="16"/>
  <c r="BG23" i="16"/>
  <c r="BL24" i="16"/>
  <c r="ES23" i="16"/>
  <c r="AC43" i="16"/>
  <c r="AH44" i="16"/>
  <c r="CK43" i="16"/>
  <c r="CP44" i="16"/>
  <c r="EI43" i="16"/>
  <c r="CA13" i="16"/>
  <c r="AW13" i="16"/>
  <c r="BB14" i="16"/>
  <c r="ES13" i="16"/>
  <c r="GQ13" i="16"/>
  <c r="GV14" i="16"/>
  <c r="DO98" i="16"/>
  <c r="DT99" i="16"/>
  <c r="CU98" i="16"/>
  <c r="CZ99" i="16"/>
  <c r="DY98" i="16"/>
  <c r="CA98" i="16"/>
  <c r="ES98" i="16"/>
  <c r="EX99" i="16"/>
  <c r="GG98" i="16"/>
  <c r="GL99" i="16"/>
  <c r="BQ53" i="16"/>
  <c r="BV54" i="16"/>
  <c r="FM53" i="16"/>
  <c r="AC53" i="16"/>
  <c r="DE53" i="16"/>
  <c r="DJ54" i="16"/>
  <c r="AW53" i="16"/>
  <c r="GQ53" i="16"/>
  <c r="AC103" i="16"/>
  <c r="AH104" i="16"/>
  <c r="AM103" i="16"/>
  <c r="AR104" i="16"/>
  <c r="ES103" i="16"/>
  <c r="DY103" i="16"/>
  <c r="GG103" i="16"/>
  <c r="DY93" i="16"/>
  <c r="AW93" i="16"/>
  <c r="FC93" i="16"/>
  <c r="FH94" i="16"/>
  <c r="GG93" i="16"/>
  <c r="GL94" i="16"/>
  <c r="CA28" i="16"/>
  <c r="CK28" i="16"/>
  <c r="DE28" i="16"/>
  <c r="GQ28" i="16"/>
  <c r="CU83" i="16"/>
  <c r="CZ84" i="16"/>
  <c r="BG83" i="16"/>
  <c r="BL84" i="16"/>
  <c r="BG33" i="16"/>
  <c r="BL34" i="16"/>
  <c r="AC33" i="16"/>
  <c r="AM33" i="16"/>
  <c r="AR34" i="16"/>
  <c r="EI33" i="16"/>
  <c r="GG33" i="16"/>
  <c r="GL34" i="16"/>
  <c r="DE78" i="16"/>
  <c r="CU78" i="16"/>
  <c r="CZ79" i="16"/>
  <c r="AC78" i="16"/>
  <c r="AH79" i="16"/>
  <c r="AW78" i="16"/>
  <c r="BB79" i="16"/>
  <c r="CA78" i="16"/>
  <c r="CF79" i="16"/>
  <c r="GQ78" i="16"/>
  <c r="GV79" i="16"/>
  <c r="FM78" i="16"/>
  <c r="AW68" i="16"/>
  <c r="CA68" i="16"/>
  <c r="CK68" i="16"/>
  <c r="DE68" i="16"/>
  <c r="DY68" i="16"/>
  <c r="FC68" i="16"/>
  <c r="GQ68" i="16"/>
  <c r="BS64" i="16"/>
  <c r="DE63" i="16"/>
  <c r="DJ64" i="16"/>
  <c r="FY64" i="16"/>
  <c r="GB64" i="16"/>
  <c r="AW63" i="16"/>
  <c r="BB64" i="16"/>
  <c r="FC63" i="16"/>
  <c r="FH64" i="16"/>
  <c r="BG64" i="16"/>
  <c r="BL64" i="16"/>
  <c r="GQ63" i="16"/>
  <c r="GV64" i="16"/>
  <c r="EI63" i="16"/>
  <c r="EN64" i="16"/>
  <c r="ED62" i="16"/>
  <c r="CP62" i="16"/>
  <c r="CZ62" i="16"/>
  <c r="BL63" i="16"/>
  <c r="BL62" i="16"/>
  <c r="BB63" i="16"/>
  <c r="GL113" i="16"/>
  <c r="EN112" i="16"/>
  <c r="DT112" i="16"/>
  <c r="CZ113" i="16"/>
  <c r="DT32" i="16"/>
  <c r="AR77" i="16"/>
  <c r="CZ78" i="16"/>
  <c r="EX82" i="16"/>
  <c r="CZ83" i="16"/>
  <c r="CZ82" i="16"/>
  <c r="DJ82" i="16"/>
  <c r="ED119" i="16"/>
  <c r="ED118" i="16"/>
  <c r="DJ119" i="16"/>
  <c r="DJ118" i="16"/>
  <c r="GB72" i="16"/>
  <c r="BV72" i="16"/>
  <c r="BV12" i="16"/>
  <c r="BB17" i="16"/>
  <c r="DJ92" i="16"/>
  <c r="GL92" i="16"/>
  <c r="CF92" i="16"/>
  <c r="DT52" i="16"/>
  <c r="BL52" i="16"/>
  <c r="CZ67" i="16"/>
  <c r="DT102" i="16"/>
  <c r="BV102" i="16"/>
  <c r="BL124" i="16"/>
  <c r="BL123" i="16"/>
  <c r="DJ124" i="16"/>
  <c r="DJ123" i="16"/>
  <c r="CP39" i="16"/>
  <c r="CP38" i="16"/>
  <c r="ED39" i="16"/>
  <c r="ED38" i="16"/>
  <c r="FR39" i="16"/>
  <c r="FR38" i="16"/>
  <c r="CZ39" i="16"/>
  <c r="CZ38" i="16"/>
  <c r="GV42" i="16"/>
  <c r="CF42" i="16"/>
  <c r="ED42" i="16"/>
  <c r="DT109" i="16"/>
  <c r="DT108" i="16"/>
  <c r="CP109" i="16"/>
  <c r="CP108" i="16"/>
  <c r="AH109" i="16"/>
  <c r="AH108" i="16"/>
  <c r="FH58" i="16"/>
  <c r="FH57" i="16"/>
  <c r="ED8" i="16"/>
  <c r="ED7" i="16"/>
  <c r="CZ8" i="16"/>
  <c r="CZ7" i="16"/>
  <c r="FH42" i="16"/>
  <c r="DT62" i="16"/>
  <c r="EX62" i="16"/>
  <c r="CZ57" i="16"/>
  <c r="EX118" i="16"/>
  <c r="FH118" i="16"/>
  <c r="FH87" i="16"/>
  <c r="FR17" i="16"/>
  <c r="AR62" i="16"/>
  <c r="BB82" i="16"/>
  <c r="ED82" i="16"/>
  <c r="GV112" i="16"/>
  <c r="CP112" i="16"/>
  <c r="GV32" i="16"/>
  <c r="ED32" i="16"/>
  <c r="DJ32" i="16"/>
  <c r="GV77" i="16"/>
  <c r="GB82" i="16"/>
  <c r="FH82" i="16"/>
  <c r="BV82" i="16"/>
  <c r="CP82" i="16"/>
  <c r="CZ27" i="16"/>
  <c r="FR119" i="16"/>
  <c r="FR118" i="16"/>
  <c r="CF119" i="16"/>
  <c r="CF118" i="16"/>
  <c r="AR119" i="16"/>
  <c r="AR118" i="16"/>
  <c r="FR72" i="16"/>
  <c r="FH72" i="16"/>
  <c r="DJ72" i="16"/>
  <c r="BL72" i="16"/>
  <c r="AR72" i="16"/>
  <c r="GV12" i="16"/>
  <c r="GB12" i="16"/>
  <c r="FH12" i="16"/>
  <c r="ED12" i="16"/>
  <c r="DJ12" i="16"/>
  <c r="AH12" i="16"/>
  <c r="GV92" i="16"/>
  <c r="BV92" i="16"/>
  <c r="CP92" i="16"/>
  <c r="EX92" i="16"/>
  <c r="EX52" i="16"/>
  <c r="BV52" i="16"/>
  <c r="CP52" i="16"/>
  <c r="DJ102" i="16"/>
  <c r="CZ87" i="16"/>
  <c r="AR42" i="16"/>
  <c r="AH42" i="16"/>
  <c r="GL22" i="16"/>
  <c r="AH22" i="16"/>
  <c r="BL22" i="16"/>
  <c r="EN22" i="16"/>
  <c r="FR109" i="16"/>
  <c r="FR108" i="16"/>
  <c r="GL109" i="16"/>
  <c r="GL108" i="16"/>
  <c r="ED109" i="16"/>
  <c r="ED108" i="16"/>
  <c r="CF109" i="16"/>
  <c r="CF108" i="16"/>
  <c r="EX109" i="16"/>
  <c r="EX108" i="16"/>
  <c r="FR58" i="16"/>
  <c r="FR57" i="16"/>
  <c r="DJ58" i="16"/>
  <c r="DJ57" i="16"/>
  <c r="AH58" i="16"/>
  <c r="AH57" i="16"/>
  <c r="BV8" i="16"/>
  <c r="BV7" i="16"/>
  <c r="AW88" i="16"/>
  <c r="BB89" i="16"/>
  <c r="ES88" i="16"/>
  <c r="EX89" i="16"/>
  <c r="DY88" i="16"/>
  <c r="GQ88" i="16"/>
  <c r="GV89" i="16"/>
  <c r="BG73" i="16"/>
  <c r="BL74" i="16"/>
  <c r="CA73" i="16"/>
  <c r="CF74" i="16"/>
  <c r="DY73" i="16"/>
  <c r="ED74" i="16"/>
  <c r="FC73" i="16"/>
  <c r="FH74" i="16"/>
  <c r="FW73" i="16"/>
  <c r="GB74" i="16"/>
  <c r="GQ73" i="16"/>
  <c r="GV74" i="16"/>
  <c r="BG113" i="16"/>
  <c r="BL114" i="16"/>
  <c r="CA113" i="16"/>
  <c r="DO113" i="16"/>
  <c r="DT114" i="16"/>
  <c r="AM113" i="16"/>
  <c r="AR114" i="16"/>
  <c r="CK113" i="16"/>
  <c r="CP114" i="16"/>
  <c r="FW113" i="16"/>
  <c r="GB114" i="16"/>
  <c r="DO18" i="16"/>
  <c r="BG18" i="16"/>
  <c r="AM18" i="16"/>
  <c r="AR19" i="16"/>
  <c r="BQ18" i="16"/>
  <c r="FW18" i="16"/>
  <c r="GB19" i="16"/>
  <c r="GQ18" i="16"/>
  <c r="GV19" i="16"/>
  <c r="DE23" i="16"/>
  <c r="CU23" i="16"/>
  <c r="CA23" i="16"/>
  <c r="CF24" i="16"/>
  <c r="FC23" i="16"/>
  <c r="FH24" i="16"/>
  <c r="DO23" i="16"/>
  <c r="FM23" i="16"/>
  <c r="FR24" i="16"/>
  <c r="GQ23" i="16"/>
  <c r="GV24" i="16"/>
  <c r="BG43" i="16"/>
  <c r="BL44" i="16"/>
  <c r="DO13" i="16"/>
  <c r="DT14" i="16"/>
  <c r="AC13" i="16"/>
  <c r="AH14" i="16"/>
  <c r="FW13" i="16"/>
  <c r="GB14" i="16"/>
  <c r="DE98" i="16"/>
  <c r="AM98" i="16"/>
  <c r="CK98" i="16"/>
  <c r="CP99" i="16"/>
  <c r="EI98" i="16"/>
  <c r="EN99" i="16"/>
  <c r="FC98" i="16"/>
  <c r="FH99" i="16"/>
  <c r="DY53" i="16"/>
  <c r="BG53" i="16"/>
  <c r="BL54" i="16"/>
  <c r="CU53" i="16"/>
  <c r="CZ54" i="16"/>
  <c r="CK53" i="16"/>
  <c r="CP54" i="16"/>
  <c r="FW53" i="16"/>
  <c r="CU103" i="16"/>
  <c r="AW103" i="16"/>
  <c r="BQ103" i="16"/>
  <c r="BV104" i="16"/>
  <c r="FC103" i="16"/>
  <c r="FH104" i="16"/>
  <c r="DO103" i="16"/>
  <c r="DT104" i="16"/>
  <c r="FM103" i="16"/>
  <c r="FR104" i="16"/>
  <c r="GQ103" i="16"/>
  <c r="GV104" i="16"/>
  <c r="CA93" i="16"/>
  <c r="CF94" i="16"/>
  <c r="BG93" i="16"/>
  <c r="CU93" i="16"/>
  <c r="CZ94" i="16"/>
  <c r="CK93" i="16"/>
  <c r="CP94" i="16"/>
  <c r="EI93" i="16"/>
  <c r="FM93" i="16"/>
  <c r="FW93" i="16"/>
  <c r="AM28" i="16"/>
  <c r="BQ28" i="16"/>
  <c r="BG28" i="16"/>
  <c r="CU28" i="16"/>
  <c r="CZ29" i="16"/>
  <c r="DO28" i="16"/>
  <c r="FM28" i="16"/>
  <c r="GG28" i="16"/>
  <c r="GL29" i="16"/>
  <c r="BQ33" i="16"/>
  <c r="BV34" i="16"/>
  <c r="ES33" i="16"/>
  <c r="EX34" i="16"/>
  <c r="CU33" i="16"/>
  <c r="DO33" i="16"/>
  <c r="DT34" i="16"/>
  <c r="AW33" i="16"/>
  <c r="BB34" i="16"/>
  <c r="DY33" i="16"/>
  <c r="ED34" i="16"/>
  <c r="FW33" i="16"/>
  <c r="GB34" i="16"/>
  <c r="GQ33" i="16"/>
  <c r="GV34" i="16"/>
  <c r="EI78" i="16"/>
  <c r="EN79" i="16"/>
  <c r="BG78" i="16"/>
  <c r="BL79" i="16"/>
  <c r="AM78" i="16"/>
  <c r="AR79" i="16"/>
  <c r="BQ78" i="16"/>
  <c r="DO78" i="16"/>
  <c r="DT79" i="16"/>
  <c r="AM68" i="16"/>
  <c r="BQ68" i="16"/>
  <c r="ES68" i="16"/>
  <c r="CU68" i="16"/>
  <c r="CZ69" i="16"/>
  <c r="EI68" i="16"/>
  <c r="EN69" i="16"/>
  <c r="GG68" i="16"/>
  <c r="ES64" i="16"/>
  <c r="EX64" i="16"/>
  <c r="CU63" i="16"/>
  <c r="CZ64" i="16"/>
  <c r="FM63" i="16"/>
  <c r="AE64" i="16"/>
  <c r="AH64" i="16"/>
  <c r="DY63" i="16"/>
  <c r="ED64" i="16"/>
  <c r="AM64" i="16"/>
  <c r="AR64" i="16"/>
  <c r="CK63" i="16"/>
  <c r="CP64" i="16"/>
  <c r="CA63" i="16"/>
  <c r="CF64" i="16"/>
  <c r="DO64" i="16"/>
  <c r="DT64" i="16"/>
  <c r="BL112" i="16"/>
  <c r="AR113" i="16"/>
  <c r="CP32" i="16"/>
  <c r="CF32" i="16"/>
  <c r="BV32" i="16"/>
  <c r="EN27" i="16"/>
  <c r="CZ72" i="16"/>
  <c r="DT12" i="16"/>
  <c r="AR12" i="16"/>
  <c r="GL18" i="16"/>
  <c r="FH93" i="16"/>
  <c r="FH92" i="16"/>
  <c r="AR92" i="16"/>
  <c r="AR52" i="16"/>
  <c r="EN97" i="16"/>
  <c r="CP97" i="16"/>
  <c r="EX97" i="16"/>
  <c r="AH102" i="16"/>
  <c r="BL102" i="16"/>
  <c r="EN102" i="16"/>
  <c r="BV97" i="16"/>
  <c r="BB22" i="16"/>
  <c r="BB62" i="16"/>
  <c r="EX72" i="16"/>
  <c r="GL72" i="16"/>
  <c r="BV22" i="16"/>
  <c r="GB112" i="16"/>
  <c r="GV62" i="16"/>
  <c r="GL64" i="16"/>
  <c r="GL63" i="16"/>
  <c r="DJ62" i="16"/>
  <c r="FH112" i="16"/>
  <c r="ED112" i="16"/>
  <c r="DJ112" i="16"/>
  <c r="BL32" i="16"/>
  <c r="GL77" i="16"/>
  <c r="BB77" i="16"/>
  <c r="BB12" i="16"/>
  <c r="GV17" i="16"/>
  <c r="CZ92" i="16"/>
  <c r="DJ52" i="16"/>
  <c r="CZ97" i="16"/>
  <c r="FR103" i="16"/>
  <c r="FR102" i="16"/>
  <c r="GL124" i="16"/>
  <c r="GL123" i="16"/>
  <c r="BV124" i="16"/>
  <c r="BV123" i="16"/>
  <c r="GL39" i="16"/>
  <c r="GL38" i="16"/>
  <c r="EX39" i="16"/>
  <c r="EX38" i="16"/>
  <c r="DT39" i="16"/>
  <c r="DT38" i="16"/>
  <c r="BV39" i="16"/>
  <c r="BV38" i="16"/>
  <c r="FH39" i="16"/>
  <c r="FH38" i="16"/>
  <c r="BL39" i="16"/>
  <c r="BL38" i="16"/>
  <c r="EN39" i="16"/>
  <c r="EN38" i="16"/>
  <c r="EX43" i="16"/>
  <c r="CF22" i="16"/>
  <c r="S63" i="16"/>
  <c r="DO63" i="16"/>
  <c r="I64" i="16"/>
  <c r="DE64" i="16"/>
  <c r="BI64" i="16"/>
  <c r="GS64" i="16"/>
  <c r="BG63" i="16"/>
  <c r="EK64" i="16"/>
  <c r="GQ64" i="16"/>
  <c r="EI64" i="16"/>
  <c r="N118" i="16"/>
  <c r="N58" i="16"/>
  <c r="I23" i="16"/>
  <c r="S22" i="16" s="1"/>
  <c r="M24" i="16"/>
  <c r="N24" i="16" s="1"/>
  <c r="I43" i="16"/>
  <c r="M44" i="16"/>
  <c r="N44" i="16" s="1"/>
  <c r="I14" i="16"/>
  <c r="N14" i="16"/>
  <c r="I83" i="16"/>
  <c r="M84" i="16"/>
  <c r="N84" i="16" s="1"/>
  <c r="K34" i="16"/>
  <c r="M34" i="16"/>
  <c r="N34" i="16" s="1"/>
  <c r="K69" i="16"/>
  <c r="M69" i="16"/>
  <c r="N69" i="16" s="1"/>
  <c r="N124" i="16"/>
  <c r="N123" i="16"/>
  <c r="N38" i="16"/>
  <c r="K74" i="16"/>
  <c r="M74" i="16"/>
  <c r="N74" i="16" s="1"/>
  <c r="I113" i="16"/>
  <c r="M114" i="16"/>
  <c r="N114" i="16" s="1"/>
  <c r="I19" i="16"/>
  <c r="M19" i="16"/>
  <c r="N19" i="16" s="1"/>
  <c r="EA64" i="16"/>
  <c r="K99" i="16"/>
  <c r="M99" i="16"/>
  <c r="N99" i="16" s="1"/>
  <c r="I54" i="16"/>
  <c r="M54" i="16"/>
  <c r="N54" i="16" s="1"/>
  <c r="I103" i="16"/>
  <c r="M104" i="16"/>
  <c r="N104" i="16" s="1"/>
  <c r="I94" i="16"/>
  <c r="M94" i="16"/>
  <c r="N94" i="16" s="1"/>
  <c r="I29" i="16"/>
  <c r="M29" i="16"/>
  <c r="N29" i="16" s="1"/>
  <c r="CM64" i="16"/>
  <c r="I78" i="16"/>
  <c r="M79" i="16"/>
  <c r="N79" i="16" s="1"/>
  <c r="I63" i="16"/>
  <c r="M64" i="16"/>
  <c r="N64" i="16" s="1"/>
  <c r="N92" i="16"/>
  <c r="N88" i="16"/>
  <c r="N8" i="16"/>
  <c r="N72" i="16"/>
  <c r="N22" i="16"/>
  <c r="N42" i="16"/>
  <c r="N62" i="16"/>
  <c r="N67" i="16"/>
  <c r="N52" i="16"/>
  <c r="N12" i="16"/>
  <c r="N108" i="16"/>
  <c r="ES63" i="16"/>
  <c r="EU64" i="16"/>
  <c r="CC64" i="16"/>
  <c r="DY64" i="16"/>
  <c r="FM64" i="16"/>
  <c r="AM63" i="16"/>
  <c r="CA64" i="16"/>
  <c r="FO64" i="16"/>
  <c r="AO64" i="16"/>
  <c r="CK64" i="16"/>
  <c r="FW63" i="16"/>
  <c r="AC63" i="16"/>
  <c r="AC64" i="16"/>
  <c r="BQ64" i="16"/>
  <c r="CU64" i="16"/>
  <c r="AW64" i="16"/>
  <c r="BQ63" i="16"/>
  <c r="CW64" i="16"/>
  <c r="AY64" i="16"/>
  <c r="DG64" i="16"/>
  <c r="FW64" i="16"/>
  <c r="FC64" i="16"/>
  <c r="FE64" i="16"/>
  <c r="K94" i="16"/>
  <c r="I13" i="16"/>
  <c r="I24" i="16"/>
  <c r="I98" i="16"/>
  <c r="I34" i="16"/>
  <c r="I74" i="16"/>
  <c r="K114" i="16"/>
  <c r="I73" i="16"/>
  <c r="I114" i="16"/>
  <c r="K14" i="16"/>
  <c r="I93" i="16"/>
  <c r="K104" i="16"/>
  <c r="I33" i="16"/>
  <c r="K24" i="16"/>
  <c r="I104" i="16"/>
  <c r="I99" i="16"/>
  <c r="CW89" i="16"/>
  <c r="CU89" i="16"/>
  <c r="FW89" i="16"/>
  <c r="FY89" i="16"/>
  <c r="AE74" i="16"/>
  <c r="AC74" i="16"/>
  <c r="AO74" i="16"/>
  <c r="AM74" i="16"/>
  <c r="GI74" i="16"/>
  <c r="GG74" i="16"/>
  <c r="ES114" i="16"/>
  <c r="EU114" i="16"/>
  <c r="EA114" i="16"/>
  <c r="DY114" i="16"/>
  <c r="AE19" i="16"/>
  <c r="AC19" i="16"/>
  <c r="CU19" i="16"/>
  <c r="CW19" i="16"/>
  <c r="EU19" i="16"/>
  <c r="ES19" i="16"/>
  <c r="FY24" i="16"/>
  <c r="FW24" i="16"/>
  <c r="BS24" i="16"/>
  <c r="BQ24" i="16"/>
  <c r="GI24" i="16"/>
  <c r="GG24" i="16"/>
  <c r="EK44" i="16"/>
  <c r="EI44" i="16"/>
  <c r="GI44" i="16"/>
  <c r="GG44" i="16"/>
  <c r="EA14" i="16"/>
  <c r="DY14" i="16"/>
  <c r="FC14" i="16"/>
  <c r="FE14" i="16"/>
  <c r="AE99" i="16"/>
  <c r="AC99" i="16"/>
  <c r="BS99" i="16"/>
  <c r="BQ99" i="16"/>
  <c r="GS99" i="16"/>
  <c r="GQ99" i="16"/>
  <c r="CC54" i="16"/>
  <c r="CA54" i="16"/>
  <c r="AO54" i="16"/>
  <c r="AM54" i="16"/>
  <c r="EI54" i="16"/>
  <c r="EK54" i="16"/>
  <c r="DG104" i="16"/>
  <c r="DE104" i="16"/>
  <c r="CC104" i="16"/>
  <c r="CA104" i="16"/>
  <c r="GI104" i="16"/>
  <c r="GG104" i="16"/>
  <c r="BS94" i="16"/>
  <c r="BQ94" i="16"/>
  <c r="DE94" i="16"/>
  <c r="DG94" i="16"/>
  <c r="GQ94" i="16"/>
  <c r="GS94" i="16"/>
  <c r="CC29" i="16"/>
  <c r="CA29" i="16"/>
  <c r="AE29" i="16"/>
  <c r="AC29" i="16"/>
  <c r="FY29" i="16"/>
  <c r="FW29" i="16"/>
  <c r="AW83" i="16"/>
  <c r="AY84" i="16"/>
  <c r="AW84" i="16"/>
  <c r="FC83" i="16"/>
  <c r="FE84" i="16"/>
  <c r="FC84" i="16"/>
  <c r="GG43" i="16"/>
  <c r="CW34" i="16"/>
  <c r="CU34" i="16"/>
  <c r="FO34" i="16"/>
  <c r="FM34" i="16"/>
  <c r="EK79" i="16"/>
  <c r="EI79" i="16"/>
  <c r="DQ79" i="16"/>
  <c r="DO79" i="16"/>
  <c r="GI79" i="16"/>
  <c r="GG79" i="16"/>
  <c r="AM69" i="16"/>
  <c r="AO69" i="16"/>
  <c r="BQ69" i="16"/>
  <c r="BS69" i="16"/>
  <c r="BI69" i="16"/>
  <c r="BG69" i="16"/>
  <c r="DO69" i="16"/>
  <c r="DQ69" i="16"/>
  <c r="FO69" i="16"/>
  <c r="FM69" i="16"/>
  <c r="CM89" i="16"/>
  <c r="CK89" i="16"/>
  <c r="FE89" i="16"/>
  <c r="FC89" i="16"/>
  <c r="EU74" i="16"/>
  <c r="ES74" i="16"/>
  <c r="AY74" i="16"/>
  <c r="AW74" i="16"/>
  <c r="FE74" i="16"/>
  <c r="FC74" i="16"/>
  <c r="AC114" i="16"/>
  <c r="AE114" i="16"/>
  <c r="AO114" i="16"/>
  <c r="AM114" i="16"/>
  <c r="GS114" i="16"/>
  <c r="GQ114" i="16"/>
  <c r="DG19" i="16"/>
  <c r="DE19" i="16"/>
  <c r="BS19" i="16"/>
  <c r="BQ19" i="16"/>
  <c r="GS19" i="16"/>
  <c r="GQ19" i="16"/>
  <c r="AO24" i="16"/>
  <c r="AM24" i="16"/>
  <c r="CC24" i="16"/>
  <c r="CA24" i="16"/>
  <c r="GS24" i="16"/>
  <c r="GQ24" i="16"/>
  <c r="DE43" i="16"/>
  <c r="DG44" i="16"/>
  <c r="DE44" i="16"/>
  <c r="BG44" i="16"/>
  <c r="BI44" i="16"/>
  <c r="GQ43" i="16"/>
  <c r="GS44" i="16"/>
  <c r="GQ44" i="16"/>
  <c r="GI14" i="16"/>
  <c r="GG14" i="16"/>
  <c r="FO14" i="16"/>
  <c r="FM14" i="16"/>
  <c r="AY99" i="16"/>
  <c r="AW99" i="16"/>
  <c r="FO99" i="16"/>
  <c r="FM99" i="16"/>
  <c r="AE54" i="16"/>
  <c r="AC54" i="16"/>
  <c r="FE54" i="16"/>
  <c r="FC54" i="16"/>
  <c r="GG73" i="16"/>
  <c r="ES73" i="16"/>
  <c r="FM98" i="16"/>
  <c r="DO68" i="16"/>
  <c r="FW88" i="16"/>
  <c r="BQ23" i="16"/>
  <c r="AY104" i="16"/>
  <c r="AW104" i="16"/>
  <c r="DQ104" i="16"/>
  <c r="DO104" i="16"/>
  <c r="CC94" i="16"/>
  <c r="CA94" i="16"/>
  <c r="AM94" i="16"/>
  <c r="AO94" i="16"/>
  <c r="FW94" i="16"/>
  <c r="FY94" i="16"/>
  <c r="AY29" i="16"/>
  <c r="AW29" i="16"/>
  <c r="EI29" i="16"/>
  <c r="EK29" i="16"/>
  <c r="CK83" i="16"/>
  <c r="CM84" i="16"/>
  <c r="CK84" i="16"/>
  <c r="DO83" i="16"/>
  <c r="DQ84" i="16"/>
  <c r="DO84" i="16"/>
  <c r="GG83" i="16"/>
  <c r="GI84" i="16"/>
  <c r="GG84" i="16"/>
  <c r="EI53" i="16"/>
  <c r="CC34" i="16"/>
  <c r="CA34" i="16"/>
  <c r="DG34" i="16"/>
  <c r="DE34" i="16"/>
  <c r="CK34" i="16"/>
  <c r="CM34" i="16"/>
  <c r="FE34" i="16"/>
  <c r="FC34" i="16"/>
  <c r="FW79" i="16"/>
  <c r="FY79" i="16"/>
  <c r="AE79" i="16"/>
  <c r="AC79" i="16"/>
  <c r="FC79" i="16"/>
  <c r="FE79" i="16"/>
  <c r="GQ79" i="16"/>
  <c r="GS79" i="16"/>
  <c r="DE18" i="16"/>
  <c r="FM68" i="16"/>
  <c r="AW69" i="16"/>
  <c r="AY69" i="16"/>
  <c r="CA69" i="16"/>
  <c r="CC69" i="16"/>
  <c r="AE69" i="16"/>
  <c r="AC69" i="16"/>
  <c r="EA69" i="16"/>
  <c r="DY69" i="16"/>
  <c r="FY69" i="16"/>
  <c r="FW69" i="16"/>
  <c r="I53" i="16"/>
  <c r="K54" i="16"/>
  <c r="FM33" i="16"/>
  <c r="FW28" i="16"/>
  <c r="DY13" i="16"/>
  <c r="CU18" i="16"/>
  <c r="AM53" i="16"/>
  <c r="AM23" i="16"/>
  <c r="AC89" i="16"/>
  <c r="AE89" i="16"/>
  <c r="AO89" i="16"/>
  <c r="AM89" i="16"/>
  <c r="BG89" i="16"/>
  <c r="BI89" i="16"/>
  <c r="DQ89" i="16"/>
  <c r="DO89" i="16"/>
  <c r="GG89" i="16"/>
  <c r="GI89" i="16"/>
  <c r="BQ74" i="16"/>
  <c r="BS74" i="16"/>
  <c r="DG74" i="16"/>
  <c r="DE74" i="16"/>
  <c r="CM74" i="16"/>
  <c r="CK74" i="16"/>
  <c r="FM74" i="16"/>
  <c r="FO74" i="16"/>
  <c r="BS114" i="16"/>
  <c r="BQ114" i="16"/>
  <c r="DG114" i="16"/>
  <c r="DE114" i="16"/>
  <c r="AW114" i="16"/>
  <c r="AY114" i="16"/>
  <c r="FE114" i="16"/>
  <c r="FC114" i="16"/>
  <c r="AY19" i="16"/>
  <c r="AW19" i="16"/>
  <c r="CC19" i="16"/>
  <c r="CA19" i="16"/>
  <c r="FO19" i="16"/>
  <c r="FM19" i="16"/>
  <c r="CM24" i="16"/>
  <c r="CK24" i="16"/>
  <c r="AE24" i="16"/>
  <c r="AC24" i="16"/>
  <c r="AY24" i="16"/>
  <c r="AW24" i="16"/>
  <c r="BI24" i="16"/>
  <c r="BG24" i="16"/>
  <c r="EA24" i="16"/>
  <c r="DY24" i="16"/>
  <c r="AE44" i="16"/>
  <c r="AC44" i="16"/>
  <c r="AM43" i="16"/>
  <c r="AO44" i="16"/>
  <c r="AM44" i="16"/>
  <c r="BQ43" i="16"/>
  <c r="BS44" i="16"/>
  <c r="BQ44" i="16"/>
  <c r="ES43" i="16"/>
  <c r="EU44" i="16"/>
  <c r="ES44" i="16"/>
  <c r="FM43" i="16"/>
  <c r="FO44" i="16"/>
  <c r="FM44" i="16"/>
  <c r="FW23" i="16"/>
  <c r="DQ14" i="16"/>
  <c r="DO14" i="16"/>
  <c r="AC14" i="16"/>
  <c r="AE14" i="16"/>
  <c r="AO14" i="16"/>
  <c r="AM14" i="16"/>
  <c r="EI14" i="16"/>
  <c r="EK14" i="16"/>
  <c r="FY14" i="16"/>
  <c r="FW14" i="16"/>
  <c r="EI13" i="16"/>
  <c r="DG99" i="16"/>
  <c r="DE99" i="16"/>
  <c r="BI99" i="16"/>
  <c r="BG99" i="16"/>
  <c r="CM99" i="16"/>
  <c r="CK99" i="16"/>
  <c r="EK99" i="16"/>
  <c r="EI99" i="16"/>
  <c r="FY99" i="16"/>
  <c r="FW99" i="16"/>
  <c r="EA54" i="16"/>
  <c r="DY54" i="16"/>
  <c r="BI54" i="16"/>
  <c r="BG54" i="16"/>
  <c r="CU54" i="16"/>
  <c r="CW54" i="16"/>
  <c r="CK54" i="16"/>
  <c r="CM54" i="16"/>
  <c r="FY54" i="16"/>
  <c r="FW54" i="16"/>
  <c r="GQ113" i="16"/>
  <c r="DE113" i="16"/>
  <c r="DE33" i="16"/>
  <c r="AC28" i="16"/>
  <c r="AC18" i="16"/>
  <c r="AW98" i="16"/>
  <c r="AC98" i="16"/>
  <c r="CM104" i="16"/>
  <c r="CK104" i="16"/>
  <c r="AE104" i="16"/>
  <c r="AC104" i="16"/>
  <c r="EI103" i="16"/>
  <c r="EK104" i="16"/>
  <c r="EI104" i="16"/>
  <c r="BG103" i="16"/>
  <c r="BI104" i="16"/>
  <c r="BG104" i="16"/>
  <c r="EA104" i="16"/>
  <c r="DY104" i="16"/>
  <c r="DQ94" i="16"/>
  <c r="DO94" i="16"/>
  <c r="AE94" i="16"/>
  <c r="AC94" i="16"/>
  <c r="AY94" i="16"/>
  <c r="AW94" i="16"/>
  <c r="FC94" i="16"/>
  <c r="FE94" i="16"/>
  <c r="GI94" i="16"/>
  <c r="GG94" i="16"/>
  <c r="CK29" i="16"/>
  <c r="CM29" i="16"/>
  <c r="DE29" i="16"/>
  <c r="DG29" i="16"/>
  <c r="FC29" i="16"/>
  <c r="FE29" i="16"/>
  <c r="GS29" i="16"/>
  <c r="GQ29" i="16"/>
  <c r="CU84" i="16"/>
  <c r="CW84" i="16"/>
  <c r="DE83" i="16"/>
  <c r="DG84" i="16"/>
  <c r="DE84" i="16"/>
  <c r="BG84" i="16"/>
  <c r="BI84" i="16"/>
  <c r="DY83" i="16"/>
  <c r="EA84" i="16"/>
  <c r="DY84" i="16"/>
  <c r="GQ83" i="16"/>
  <c r="GS84" i="16"/>
  <c r="GQ84" i="16"/>
  <c r="CK33" i="16"/>
  <c r="FW78" i="16"/>
  <c r="FW68" i="16"/>
  <c r="GG23" i="16"/>
  <c r="AC23" i="16"/>
  <c r="EU34" i="16"/>
  <c r="ES34" i="16"/>
  <c r="DQ34" i="16"/>
  <c r="DO34" i="16"/>
  <c r="DY34" i="16"/>
  <c r="EA34" i="16"/>
  <c r="FY34" i="16"/>
  <c r="FW34" i="16"/>
  <c r="EA79" i="16"/>
  <c r="DY79" i="16"/>
  <c r="BI79" i="16"/>
  <c r="BG79" i="16"/>
  <c r="AM79" i="16"/>
  <c r="AO79" i="16"/>
  <c r="BS79" i="16"/>
  <c r="BQ79" i="16"/>
  <c r="EU79" i="16"/>
  <c r="ES79" i="16"/>
  <c r="ES78" i="16"/>
  <c r="DY78" i="16"/>
  <c r="FC28" i="16"/>
  <c r="GG13" i="16"/>
  <c r="DO93" i="16"/>
  <c r="CK103" i="16"/>
  <c r="CK88" i="16"/>
  <c r="ES69" i="16"/>
  <c r="EU69" i="16"/>
  <c r="CW69" i="16"/>
  <c r="CU69" i="16"/>
  <c r="EI69" i="16"/>
  <c r="EK69" i="16"/>
  <c r="GG69" i="16"/>
  <c r="GI69" i="16"/>
  <c r="CC89" i="16"/>
  <c r="CA89" i="16"/>
  <c r="EI89" i="16"/>
  <c r="EK89" i="16"/>
  <c r="EI74" i="16"/>
  <c r="EK74" i="16"/>
  <c r="FO114" i="16"/>
  <c r="FM114" i="16"/>
  <c r="GG114" i="16"/>
  <c r="GI114" i="16"/>
  <c r="EA19" i="16"/>
  <c r="DY19" i="16"/>
  <c r="GI19" i="16"/>
  <c r="GG19" i="16"/>
  <c r="EU24" i="16"/>
  <c r="ES24" i="16"/>
  <c r="CM44" i="16"/>
  <c r="CK44" i="16"/>
  <c r="DO43" i="16"/>
  <c r="DQ44" i="16"/>
  <c r="DO44" i="16"/>
  <c r="DG14" i="16"/>
  <c r="DE14" i="16"/>
  <c r="CM14" i="16"/>
  <c r="CK14" i="16"/>
  <c r="DY113" i="16"/>
  <c r="AO99" i="16"/>
  <c r="AM99" i="16"/>
  <c r="FE99" i="16"/>
  <c r="FC99" i="16"/>
  <c r="DQ54" i="16"/>
  <c r="DO54" i="16"/>
  <c r="GG54" i="16"/>
  <c r="GI54" i="16"/>
  <c r="AO104" i="16"/>
  <c r="AM104" i="16"/>
  <c r="EU104" i="16"/>
  <c r="ES104" i="16"/>
  <c r="EA94" i="16"/>
  <c r="DY94" i="16"/>
  <c r="EU94" i="16"/>
  <c r="ES94" i="16"/>
  <c r="ES29" i="16"/>
  <c r="EU29" i="16"/>
  <c r="EA29" i="16"/>
  <c r="DY29" i="16"/>
  <c r="CA83" i="16"/>
  <c r="CC84" i="16"/>
  <c r="CA84" i="16"/>
  <c r="FW83" i="16"/>
  <c r="FY84" i="16"/>
  <c r="FW84" i="16"/>
  <c r="FC13" i="16"/>
  <c r="BQ34" i="16"/>
  <c r="BS34" i="16"/>
  <c r="AY34" i="16"/>
  <c r="AW34" i="16"/>
  <c r="GQ34" i="16"/>
  <c r="GS34" i="16"/>
  <c r="CK79" i="16"/>
  <c r="CM79" i="16"/>
  <c r="ES113" i="16"/>
  <c r="CK78" i="16"/>
  <c r="ES28" i="16"/>
  <c r="AC73" i="16"/>
  <c r="BG68" i="16"/>
  <c r="CA88" i="16"/>
  <c r="DE89" i="16"/>
  <c r="DG89" i="16"/>
  <c r="GQ89" i="16"/>
  <c r="GS89" i="16"/>
  <c r="CW74" i="16"/>
  <c r="CU74" i="16"/>
  <c r="GQ74" i="16"/>
  <c r="GS74" i="16"/>
  <c r="CW114" i="16"/>
  <c r="CU114" i="16"/>
  <c r="EI114" i="16"/>
  <c r="EK114" i="16"/>
  <c r="AO19" i="16"/>
  <c r="AM19" i="16"/>
  <c r="FE19" i="16"/>
  <c r="FC19" i="16"/>
  <c r="DQ24" i="16"/>
  <c r="DO24" i="16"/>
  <c r="CU43" i="16"/>
  <c r="CW44" i="16"/>
  <c r="CU44" i="16"/>
  <c r="DY43" i="16"/>
  <c r="EA44" i="16"/>
  <c r="DY44" i="16"/>
  <c r="GG53" i="16"/>
  <c r="FC88" i="16"/>
  <c r="CA14" i="16"/>
  <c r="CC14" i="16"/>
  <c r="BQ14" i="16"/>
  <c r="BS14" i="16"/>
  <c r="EU14" i="16"/>
  <c r="ES14" i="16"/>
  <c r="CC99" i="16"/>
  <c r="CA99" i="16"/>
  <c r="FO54" i="16"/>
  <c r="FM54" i="16"/>
  <c r="AW54" i="16"/>
  <c r="AY54" i="16"/>
  <c r="CK13" i="16"/>
  <c r="BQ93" i="16"/>
  <c r="FY104" i="16"/>
  <c r="FW104" i="16"/>
  <c r="GS104" i="16"/>
  <c r="GQ104" i="16"/>
  <c r="EI94" i="16"/>
  <c r="EK94" i="16"/>
  <c r="CW29" i="16"/>
  <c r="CU29" i="16"/>
  <c r="GG29" i="16"/>
  <c r="GI29" i="16"/>
  <c r="EK84" i="16"/>
  <c r="EI84" i="16"/>
  <c r="EI113" i="16"/>
  <c r="GG113" i="16"/>
  <c r="AC113" i="16"/>
  <c r="CA33" i="16"/>
  <c r="FC78" i="16"/>
  <c r="AW28" i="16"/>
  <c r="FC18" i="16"/>
  <c r="DE93" i="16"/>
  <c r="AM93" i="16"/>
  <c r="DO53" i="16"/>
  <c r="BQ98" i="16"/>
  <c r="BS89" i="16"/>
  <c r="BQ89" i="16"/>
  <c r="AW89" i="16"/>
  <c r="AY89" i="16"/>
  <c r="EU89" i="16"/>
  <c r="ES89" i="16"/>
  <c r="DY89" i="16"/>
  <c r="EA89" i="16"/>
  <c r="FO89" i="16"/>
  <c r="FM89" i="16"/>
  <c r="BI74" i="16"/>
  <c r="BG74" i="16"/>
  <c r="CA74" i="16"/>
  <c r="CC74" i="16"/>
  <c r="DO74" i="16"/>
  <c r="DQ74" i="16"/>
  <c r="DY74" i="16"/>
  <c r="EA74" i="16"/>
  <c r="FW74" i="16"/>
  <c r="FY74" i="16"/>
  <c r="BI114" i="16"/>
  <c r="BG114" i="16"/>
  <c r="CA114" i="16"/>
  <c r="CC114" i="16"/>
  <c r="DQ114" i="16"/>
  <c r="DO114" i="16"/>
  <c r="CM114" i="16"/>
  <c r="CK114" i="16"/>
  <c r="FY114" i="16"/>
  <c r="FW114" i="16"/>
  <c r="DQ19" i="16"/>
  <c r="DO19" i="16"/>
  <c r="BI19" i="16"/>
  <c r="BG19" i="16"/>
  <c r="CM19" i="16"/>
  <c r="CK19" i="16"/>
  <c r="EK19" i="16"/>
  <c r="EI19" i="16"/>
  <c r="FY19" i="16"/>
  <c r="FW19" i="16"/>
  <c r="DG24" i="16"/>
  <c r="DE24" i="16"/>
  <c r="CW24" i="16"/>
  <c r="CU24" i="16"/>
  <c r="EI23" i="16"/>
  <c r="EK24" i="16"/>
  <c r="EI24" i="16"/>
  <c r="FE24" i="16"/>
  <c r="FC24" i="16"/>
  <c r="FO24" i="16"/>
  <c r="FM24" i="16"/>
  <c r="AW43" i="16"/>
  <c r="AY44" i="16"/>
  <c r="AW44" i="16"/>
  <c r="CA43" i="16"/>
  <c r="CC44" i="16"/>
  <c r="CA44" i="16"/>
  <c r="FC43" i="16"/>
  <c r="FE44" i="16"/>
  <c r="FC44" i="16"/>
  <c r="FW43" i="16"/>
  <c r="FY44" i="16"/>
  <c r="FW44" i="16"/>
  <c r="AM73" i="16"/>
  <c r="DE13" i="16"/>
  <c r="ES18" i="16"/>
  <c r="FM88" i="16"/>
  <c r="AC88" i="16"/>
  <c r="BI14" i="16"/>
  <c r="BG14" i="16"/>
  <c r="CU14" i="16"/>
  <c r="CW14" i="16"/>
  <c r="AY14" i="16"/>
  <c r="AW14" i="16"/>
  <c r="GS14" i="16"/>
  <c r="GQ14" i="16"/>
  <c r="EI28" i="16"/>
  <c r="CU73" i="16"/>
  <c r="BQ13" i="16"/>
  <c r="DQ99" i="16"/>
  <c r="DO99" i="16"/>
  <c r="CW99" i="16"/>
  <c r="CU99" i="16"/>
  <c r="EA99" i="16"/>
  <c r="DY99" i="16"/>
  <c r="EU99" i="16"/>
  <c r="ES99" i="16"/>
  <c r="GI99" i="16"/>
  <c r="GG99" i="16"/>
  <c r="FW103" i="16"/>
  <c r="BG88" i="16"/>
  <c r="CU88" i="16"/>
  <c r="BS54" i="16"/>
  <c r="BQ54" i="16"/>
  <c r="DG54" i="16"/>
  <c r="DE54" i="16"/>
  <c r="ES54" i="16"/>
  <c r="EU54" i="16"/>
  <c r="GS54" i="16"/>
  <c r="GQ54" i="16"/>
  <c r="FC33" i="16"/>
  <c r="GG78" i="16"/>
  <c r="EI83" i="16"/>
  <c r="DY28" i="16"/>
  <c r="DO73" i="16"/>
  <c r="AW73" i="16"/>
  <c r="FM13" i="16"/>
  <c r="BG13" i="16"/>
  <c r="AM13" i="16"/>
  <c r="EI18" i="16"/>
  <c r="GQ93" i="16"/>
  <c r="ES93" i="16"/>
  <c r="FC53" i="16"/>
  <c r="ES53" i="16"/>
  <c r="GQ98" i="16"/>
  <c r="CA103" i="16"/>
  <c r="DE103" i="16"/>
  <c r="GG88" i="16"/>
  <c r="BQ88" i="16"/>
  <c r="DY23" i="16"/>
  <c r="CU104" i="16"/>
  <c r="CW104" i="16"/>
  <c r="BS104" i="16"/>
  <c r="BQ104" i="16"/>
  <c r="FE104" i="16"/>
  <c r="FC104" i="16"/>
  <c r="FO104" i="16"/>
  <c r="FM104" i="16"/>
  <c r="BI94" i="16"/>
  <c r="BG94" i="16"/>
  <c r="CU94" i="16"/>
  <c r="CW94" i="16"/>
  <c r="CK94" i="16"/>
  <c r="CM94" i="16"/>
  <c r="FM94" i="16"/>
  <c r="FO94" i="16"/>
  <c r="AO29" i="16"/>
  <c r="AM29" i="16"/>
  <c r="BS29" i="16"/>
  <c r="BQ29" i="16"/>
  <c r="BI29" i="16"/>
  <c r="BG29" i="16"/>
  <c r="DO29" i="16"/>
  <c r="DQ29" i="16"/>
  <c r="FO29" i="16"/>
  <c r="FM29" i="16"/>
  <c r="AC83" i="16"/>
  <c r="AE84" i="16"/>
  <c r="AC84" i="16"/>
  <c r="AM83" i="16"/>
  <c r="AO84" i="16"/>
  <c r="AM84" i="16"/>
  <c r="BQ83" i="16"/>
  <c r="BS84" i="16"/>
  <c r="BQ84" i="16"/>
  <c r="ES83" i="16"/>
  <c r="EU84" i="16"/>
  <c r="ES84" i="16"/>
  <c r="FM83" i="16"/>
  <c r="FO84" i="16"/>
  <c r="FM84" i="16"/>
  <c r="CU113" i="16"/>
  <c r="AC93" i="16"/>
  <c r="CA53" i="16"/>
  <c r="DE88" i="16"/>
  <c r="BI34" i="16"/>
  <c r="BG34" i="16"/>
  <c r="AE34" i="16"/>
  <c r="AC34" i="16"/>
  <c r="AO34" i="16"/>
  <c r="AM34" i="16"/>
  <c r="EI34" i="16"/>
  <c r="EK34" i="16"/>
  <c r="GI34" i="16"/>
  <c r="GG34" i="16"/>
  <c r="DE79" i="16"/>
  <c r="DG79" i="16"/>
  <c r="CW79" i="16"/>
  <c r="CU79" i="16"/>
  <c r="AY79" i="16"/>
  <c r="AW79" i="16"/>
  <c r="CC79" i="16"/>
  <c r="CA79" i="16"/>
  <c r="FM79" i="16"/>
  <c r="FO79" i="16"/>
  <c r="FM113" i="16"/>
  <c r="AW113" i="16"/>
  <c r="CK73" i="16"/>
  <c r="CU13" i="16"/>
  <c r="CK18" i="16"/>
  <c r="BG98" i="16"/>
  <c r="AC68" i="16"/>
  <c r="CK69" i="16"/>
  <c r="CM69" i="16"/>
  <c r="DG69" i="16"/>
  <c r="DE69" i="16"/>
  <c r="FC69" i="16"/>
  <c r="FE69" i="16"/>
  <c r="GS69" i="16"/>
  <c r="GQ69" i="16"/>
  <c r="S34" i="16"/>
  <c r="U34" i="16"/>
  <c r="S74" i="16"/>
  <c r="U74" i="16"/>
  <c r="U24" i="16"/>
  <c r="S24" i="16"/>
  <c r="U78" i="16"/>
  <c r="U124" i="16"/>
  <c r="S124" i="16"/>
  <c r="U98" i="16"/>
  <c r="S98" i="16"/>
  <c r="U19" i="16"/>
  <c r="S19" i="16"/>
  <c r="S87" i="16"/>
  <c r="U87" i="16"/>
  <c r="S123" i="16"/>
  <c r="U64" i="16"/>
  <c r="S64" i="16"/>
  <c r="U73" i="16"/>
  <c r="S73" i="16"/>
  <c r="U114" i="16"/>
  <c r="S114" i="16"/>
  <c r="U53" i="16"/>
  <c r="S53" i="16"/>
  <c r="S103" i="16"/>
  <c r="U103" i="16"/>
  <c r="U83" i="16"/>
  <c r="S102" i="16"/>
  <c r="S99" i="16"/>
  <c r="U99" i="16"/>
  <c r="U92" i="16"/>
  <c r="S92" i="16"/>
  <c r="S91" i="16"/>
  <c r="U38" i="16"/>
  <c r="S38" i="16"/>
  <c r="U33" i="16"/>
  <c r="S33" i="16"/>
  <c r="U104" i="16"/>
  <c r="S104" i="16"/>
  <c r="U57" i="16"/>
  <c r="S57" i="16"/>
  <c r="S42" i="16"/>
  <c r="U42" i="16"/>
  <c r="S41" i="16"/>
  <c r="S32" i="16"/>
  <c r="U93" i="16"/>
  <c r="S93" i="16"/>
  <c r="U94" i="16"/>
  <c r="S94" i="16"/>
  <c r="U113" i="16"/>
  <c r="S113" i="16"/>
  <c r="U54" i="16"/>
  <c r="S54" i="16"/>
  <c r="U43" i="16"/>
  <c r="S43" i="16"/>
  <c r="U29" i="16"/>
  <c r="S29" i="16"/>
  <c r="U23" i="16"/>
  <c r="S23" i="16"/>
  <c r="U17" i="16"/>
  <c r="S16" i="16"/>
  <c r="S82" i="16"/>
  <c r="S86" i="16"/>
  <c r="S77" i="16"/>
  <c r="S56" i="16"/>
  <c r="S72" i="16"/>
  <c r="S37" i="16"/>
  <c r="U13" i="16"/>
  <c r="S13" i="16"/>
  <c r="U14" i="16"/>
  <c r="S14" i="16"/>
  <c r="U9" i="16"/>
  <c r="S9" i="16"/>
  <c r="S12" i="16"/>
  <c r="I88" i="16"/>
  <c r="I89" i="16"/>
  <c r="K89" i="16"/>
  <c r="I84" i="16"/>
  <c r="S83" i="16" s="1"/>
  <c r="I68" i="16"/>
  <c r="I69" i="16"/>
  <c r="I79" i="16"/>
  <c r="K79" i="16"/>
  <c r="K84" i="16"/>
  <c r="I18" i="16"/>
  <c r="K19" i="16"/>
  <c r="I28" i="16"/>
  <c r="I44" i="16"/>
  <c r="K29" i="16"/>
  <c r="D126" i="16"/>
  <c r="K44" i="16"/>
  <c r="DJ83" i="16" l="1"/>
  <c r="GB68" i="16"/>
  <c r="EX83" i="16"/>
  <c r="AR43" i="16"/>
  <c r="ED78" i="16"/>
  <c r="CP18" i="16"/>
  <c r="DJ88" i="16"/>
  <c r="EX113" i="16"/>
  <c r="CP33" i="16"/>
  <c r="EN23" i="16"/>
  <c r="BV83" i="16"/>
  <c r="EN53" i="16"/>
  <c r="ED28" i="16"/>
  <c r="X98" i="16"/>
  <c r="EN103" i="16"/>
  <c r="AR13" i="16"/>
  <c r="DT43" i="16"/>
  <c r="AH88" i="16"/>
  <c r="FH78" i="16"/>
  <c r="FH88" i="16"/>
  <c r="CP13" i="16"/>
  <c r="X23" i="16"/>
  <c r="BL68" i="16"/>
  <c r="CZ18" i="16"/>
  <c r="AH98" i="16"/>
  <c r="EX53" i="16"/>
  <c r="DT93" i="16"/>
  <c r="GB83" i="16"/>
  <c r="GV43" i="16"/>
  <c r="BV13" i="16"/>
  <c r="X93" i="16"/>
  <c r="GL88" i="16"/>
  <c r="GV98" i="16"/>
  <c r="ED113" i="16"/>
  <c r="CZ73" i="16"/>
  <c r="GV93" i="16"/>
  <c r="AR73" i="16"/>
  <c r="AH83" i="16"/>
  <c r="CF43" i="16"/>
  <c r="FR83" i="16"/>
  <c r="FH53" i="16"/>
  <c r="DJ113" i="16"/>
  <c r="CZ13" i="16"/>
  <c r="BV88" i="16"/>
  <c r="CF103" i="16"/>
  <c r="EN18" i="16"/>
  <c r="GB88" i="16"/>
  <c r="CP83" i="16"/>
  <c r="BB98" i="16"/>
  <c r="GV83" i="16"/>
  <c r="CZ43" i="16"/>
  <c r="EX28" i="16"/>
  <c r="DT68" i="16"/>
  <c r="X88" i="16"/>
  <c r="AR83" i="16"/>
  <c r="AH23" i="16"/>
  <c r="X28" i="16"/>
  <c r="X53" i="16"/>
  <c r="FR13" i="16"/>
  <c r="FR33" i="16"/>
  <c r="ED43" i="16"/>
  <c r="AH28" i="16"/>
  <c r="X73" i="16"/>
  <c r="GL23" i="16"/>
  <c r="BV43" i="16"/>
  <c r="DJ103" i="16"/>
  <c r="GL13" i="16"/>
  <c r="X78" i="16"/>
  <c r="GL43" i="16"/>
  <c r="AH68" i="16"/>
  <c r="FR98" i="16"/>
  <c r="BV98" i="16"/>
  <c r="GB23" i="16"/>
  <c r="CP103" i="16"/>
  <c r="ED13" i="16"/>
  <c r="FH83" i="16"/>
  <c r="BB43" i="16"/>
  <c r="DJ93" i="16"/>
  <c r="BB73" i="16"/>
  <c r="X18" i="16"/>
  <c r="X33" i="16"/>
  <c r="FR68" i="16"/>
  <c r="BB28" i="16"/>
  <c r="FR88" i="16"/>
  <c r="BL103" i="16"/>
  <c r="FH18" i="16"/>
  <c r="CF33" i="16"/>
  <c r="BL88" i="16"/>
  <c r="EX78" i="16"/>
  <c r="GV113" i="16"/>
  <c r="ED23" i="16"/>
  <c r="EN13" i="16"/>
  <c r="GL73" i="16"/>
  <c r="X103" i="16"/>
  <c r="GB28" i="16"/>
  <c r="FR113" i="16"/>
  <c r="DT53" i="16"/>
  <c r="DJ18" i="16"/>
  <c r="EX93" i="16"/>
  <c r="AH73" i="16"/>
  <c r="DT83" i="16"/>
  <c r="ED83" i="16"/>
  <c r="GB43" i="16"/>
  <c r="GL78" i="16"/>
  <c r="AR53" i="16"/>
  <c r="EX73" i="16"/>
  <c r="EN28" i="16"/>
  <c r="AH113" i="16"/>
  <c r="AR23" i="16"/>
  <c r="DJ43" i="16"/>
  <c r="CZ88" i="16"/>
  <c r="GB98" i="16"/>
  <c r="DJ13" i="16"/>
  <c r="FH13" i="16"/>
  <c r="BB113" i="16"/>
  <c r="BL13" i="16"/>
  <c r="X113" i="16"/>
  <c r="X83" i="16"/>
  <c r="GB78" i="16"/>
  <c r="CP88" i="16"/>
  <c r="GB103" i="16"/>
  <c r="BV93" i="16"/>
  <c r="AH18" i="16"/>
  <c r="DJ33" i="16"/>
  <c r="BB83" i="16"/>
  <c r="X13" i="16"/>
  <c r="X68" i="16"/>
  <c r="GL53" i="16"/>
  <c r="BL98" i="16"/>
  <c r="CF53" i="16"/>
  <c r="CP78" i="16"/>
  <c r="EX18" i="16"/>
  <c r="FH28" i="16"/>
  <c r="BV23" i="16"/>
  <c r="FR43" i="16"/>
  <c r="AH93" i="16"/>
  <c r="CF83" i="16"/>
  <c r="GL83" i="16"/>
  <c r="N33" i="16"/>
  <c r="X43" i="16"/>
  <c r="AR93" i="16"/>
  <c r="CP73" i="16"/>
  <c r="DT73" i="16"/>
  <c r="EN83" i="16"/>
  <c r="FH33" i="16"/>
  <c r="FH43" i="16"/>
  <c r="CF88" i="16"/>
  <c r="EN113" i="16"/>
  <c r="N63" i="16"/>
  <c r="X64" i="16"/>
  <c r="DT98" i="16"/>
  <c r="AR18" i="16"/>
  <c r="CP43" i="16"/>
  <c r="AR88" i="16"/>
  <c r="BB23" i="16"/>
  <c r="CF23" i="16"/>
  <c r="AR103" i="16"/>
  <c r="GB18" i="16"/>
  <c r="GV18" i="16"/>
  <c r="BB13" i="16"/>
  <c r="FH113" i="16"/>
  <c r="DJ63" i="16"/>
  <c r="FH63" i="16"/>
  <c r="GV88" i="16"/>
  <c r="AH103" i="16"/>
  <c r="EX98" i="16"/>
  <c r="DT13" i="16"/>
  <c r="AR33" i="16"/>
  <c r="BV113" i="16"/>
  <c r="BL113" i="16"/>
  <c r="BL23" i="16"/>
  <c r="GV13" i="16"/>
  <c r="DJ73" i="16"/>
  <c r="AH78" i="16"/>
  <c r="GL93" i="16"/>
  <c r="BV33" i="16"/>
  <c r="EX33" i="16"/>
  <c r="CZ98" i="16"/>
  <c r="DJ53" i="16"/>
  <c r="BB78" i="16"/>
  <c r="BL33" i="16"/>
  <c r="GB63" i="16"/>
  <c r="GV63" i="16"/>
  <c r="GL98" i="16"/>
  <c r="GL33" i="16"/>
  <c r="AH43" i="16"/>
  <c r="BV53" i="16"/>
  <c r="FR73" i="16"/>
  <c r="BL83" i="16"/>
  <c r="GV78" i="16"/>
  <c r="DT88" i="16"/>
  <c r="FR18" i="16"/>
  <c r="BB18" i="16"/>
  <c r="BV73" i="16"/>
  <c r="EN63" i="16"/>
  <c r="CZ93" i="16"/>
  <c r="FH103" i="16"/>
  <c r="CP98" i="16"/>
  <c r="EN98" i="16"/>
  <c r="BB33" i="16"/>
  <c r="DT78" i="16"/>
  <c r="FH98" i="16"/>
  <c r="CF78" i="16"/>
  <c r="FR23" i="16"/>
  <c r="BL43" i="16"/>
  <c r="GV103" i="16"/>
  <c r="CF73" i="16"/>
  <c r="BL73" i="16"/>
  <c r="ED73" i="16"/>
  <c r="FH73" i="16"/>
  <c r="ED33" i="16"/>
  <c r="GB33" i="16"/>
  <c r="GV33" i="16"/>
  <c r="CZ53" i="16"/>
  <c r="CF93" i="16"/>
  <c r="GL28" i="16"/>
  <c r="AR78" i="16"/>
  <c r="EN78" i="16"/>
  <c r="DT113" i="16"/>
  <c r="GB113" i="16"/>
  <c r="EX63" i="16"/>
  <c r="AH63" i="16"/>
  <c r="BV64" i="16"/>
  <c r="BV63" i="16"/>
  <c r="GV69" i="16"/>
  <c r="GV68" i="16"/>
  <c r="FH69" i="16"/>
  <c r="FH68" i="16"/>
  <c r="ED69" i="16"/>
  <c r="ED68" i="16"/>
  <c r="DJ69" i="16"/>
  <c r="DJ68" i="16"/>
  <c r="CP69" i="16"/>
  <c r="CP68" i="16"/>
  <c r="CF69" i="16"/>
  <c r="CF68" i="16"/>
  <c r="BB69" i="16"/>
  <c r="BB68" i="16"/>
  <c r="FR79" i="16"/>
  <c r="FR78" i="16"/>
  <c r="DJ79" i="16"/>
  <c r="DJ78" i="16"/>
  <c r="EN34" i="16"/>
  <c r="EN33" i="16"/>
  <c r="AH34" i="16"/>
  <c r="AH33" i="16"/>
  <c r="GV29" i="16"/>
  <c r="GV28" i="16"/>
  <c r="DJ29" i="16"/>
  <c r="DJ28" i="16"/>
  <c r="CP29" i="16"/>
  <c r="CP28" i="16"/>
  <c r="CF29" i="16"/>
  <c r="CF28" i="16"/>
  <c r="BB94" i="16"/>
  <c r="BB93" i="16"/>
  <c r="ED94" i="16"/>
  <c r="ED93" i="16"/>
  <c r="GL104" i="16"/>
  <c r="GL103" i="16"/>
  <c r="ED104" i="16"/>
  <c r="ED103" i="16"/>
  <c r="EX104" i="16"/>
  <c r="EX103" i="16"/>
  <c r="GV54" i="16"/>
  <c r="GV53" i="16"/>
  <c r="BB54" i="16"/>
  <c r="BB53" i="16"/>
  <c r="AH54" i="16"/>
  <c r="AH53" i="16"/>
  <c r="FR54" i="16"/>
  <c r="FR53" i="16"/>
  <c r="CF99" i="16"/>
  <c r="CF98" i="16"/>
  <c r="ED99" i="16"/>
  <c r="ED98" i="16"/>
  <c r="EX14" i="16"/>
  <c r="EX13" i="16"/>
  <c r="CF14" i="16"/>
  <c r="CF13" i="16"/>
  <c r="EN44" i="16"/>
  <c r="EN43" i="16"/>
  <c r="EX24" i="16"/>
  <c r="EX23" i="16"/>
  <c r="CP24" i="16"/>
  <c r="CP23" i="16"/>
  <c r="CF19" i="16"/>
  <c r="CF18" i="16"/>
  <c r="ED19" i="16"/>
  <c r="ED18" i="16"/>
  <c r="EN74" i="16"/>
  <c r="EN73" i="16"/>
  <c r="EN89" i="16"/>
  <c r="EN88" i="16"/>
  <c r="FR64" i="16"/>
  <c r="FR63" i="16"/>
  <c r="GL69" i="16"/>
  <c r="GL68" i="16"/>
  <c r="EX69" i="16"/>
  <c r="EX68" i="16"/>
  <c r="BV69" i="16"/>
  <c r="BV68" i="16"/>
  <c r="AR69" i="16"/>
  <c r="AR68" i="16"/>
  <c r="BV79" i="16"/>
  <c r="BV78" i="16"/>
  <c r="CZ34" i="16"/>
  <c r="CZ33" i="16"/>
  <c r="FR29" i="16"/>
  <c r="FR28" i="16"/>
  <c r="DT29" i="16"/>
  <c r="DT28" i="16"/>
  <c r="BL29" i="16"/>
  <c r="BL28" i="16"/>
  <c r="BV29" i="16"/>
  <c r="BV28" i="16"/>
  <c r="AR29" i="16"/>
  <c r="AR28" i="16"/>
  <c r="GB94" i="16"/>
  <c r="GB93" i="16"/>
  <c r="FR94" i="16"/>
  <c r="FR93" i="16"/>
  <c r="EN94" i="16"/>
  <c r="EN93" i="16"/>
  <c r="BL94" i="16"/>
  <c r="BL93" i="16"/>
  <c r="BB104" i="16"/>
  <c r="BB103" i="16"/>
  <c r="CZ104" i="16"/>
  <c r="CZ103" i="16"/>
  <c r="GB54" i="16"/>
  <c r="GB53" i="16"/>
  <c r="ED54" i="16"/>
  <c r="ED53" i="16"/>
  <c r="AR99" i="16"/>
  <c r="AR98" i="16"/>
  <c r="DJ99" i="16"/>
  <c r="DJ98" i="16"/>
  <c r="DT24" i="16"/>
  <c r="DT23" i="16"/>
  <c r="CZ24" i="16"/>
  <c r="CZ23" i="16"/>
  <c r="DJ24" i="16"/>
  <c r="DJ23" i="16"/>
  <c r="BV19" i="16"/>
  <c r="BV18" i="16"/>
  <c r="BL19" i="16"/>
  <c r="BL18" i="16"/>
  <c r="DT19" i="16"/>
  <c r="DT18" i="16"/>
  <c r="CF114" i="16"/>
  <c r="CF113" i="16"/>
  <c r="ED89" i="16"/>
  <c r="ED88" i="16"/>
  <c r="FH23" i="16"/>
  <c r="BB88" i="16"/>
  <c r="EX88" i="16"/>
  <c r="EN68" i="16"/>
  <c r="CP53" i="16"/>
  <c r="CP93" i="16"/>
  <c r="AH13" i="16"/>
  <c r="GB13" i="16"/>
  <c r="GV73" i="16"/>
  <c r="CZ28" i="16"/>
  <c r="CP113" i="16"/>
  <c r="CF63" i="16"/>
  <c r="GV23" i="16"/>
  <c r="BV103" i="16"/>
  <c r="DT103" i="16"/>
  <c r="CZ68" i="16"/>
  <c r="BL53" i="16"/>
  <c r="GB73" i="16"/>
  <c r="BL78" i="16"/>
  <c r="DT33" i="16"/>
  <c r="AR63" i="16"/>
  <c r="DT63" i="16"/>
  <c r="CZ63" i="16"/>
  <c r="CP63" i="16"/>
  <c r="ED63" i="16"/>
  <c r="N83" i="16"/>
  <c r="N23" i="16"/>
  <c r="N73" i="16"/>
  <c r="N113" i="16"/>
  <c r="N103" i="16"/>
  <c r="N18" i="16"/>
  <c r="N68" i="16"/>
  <c r="N98" i="16"/>
  <c r="N93" i="16"/>
  <c r="N13" i="16"/>
  <c r="N28" i="16"/>
  <c r="N78" i="16"/>
  <c r="N43" i="16"/>
  <c r="N53" i="16"/>
  <c r="J12" i="2"/>
  <c r="P12" i="2"/>
  <c r="Z12" i="2"/>
  <c r="ES126" i="16"/>
  <c r="Q12" i="2"/>
  <c r="DO126" i="16"/>
  <c r="U12" i="2"/>
  <c r="S12" i="2"/>
  <c r="R12" i="2"/>
  <c r="FC126" i="16"/>
  <c r="O12" i="2"/>
  <c r="N12" i="2"/>
  <c r="GG126" i="16"/>
  <c r="W12" i="2"/>
  <c r="BQ126" i="16"/>
  <c r="CU126" i="16"/>
  <c r="Y12" i="2"/>
  <c r="DE126" i="16"/>
  <c r="X12" i="2"/>
  <c r="BG126" i="16"/>
  <c r="GQ126" i="16"/>
  <c r="G12" i="2"/>
  <c r="AW126" i="16"/>
  <c r="FM126" i="16"/>
  <c r="EI126" i="16"/>
  <c r="I12" i="2"/>
  <c r="K12" i="2"/>
  <c r="AM126" i="16"/>
  <c r="CK126" i="16"/>
  <c r="CA126" i="16"/>
  <c r="T12" i="2"/>
  <c r="DY126" i="16"/>
  <c r="AC126" i="16"/>
  <c r="V12" i="2"/>
  <c r="FW126" i="16"/>
  <c r="M12" i="2"/>
  <c r="L12" i="2"/>
  <c r="U28" i="16"/>
  <c r="S28" i="16"/>
  <c r="S27" i="16"/>
  <c r="S79" i="16"/>
  <c r="U79" i="16"/>
  <c r="S78" i="16"/>
  <c r="S18" i="16"/>
  <c r="U18" i="16"/>
  <c r="S69" i="16"/>
  <c r="U69" i="16"/>
  <c r="U89" i="16"/>
  <c r="S89" i="16"/>
  <c r="U44" i="16"/>
  <c r="S44" i="16"/>
  <c r="U68" i="16"/>
  <c r="S68" i="16"/>
  <c r="S67" i="16"/>
  <c r="U88" i="16"/>
  <c r="S88" i="16"/>
  <c r="S17" i="16"/>
  <c r="U84" i="16"/>
  <c r="S84" i="16"/>
  <c r="I126" i="16"/>
  <c r="X126" i="16" l="1"/>
  <c r="H13" i="2" s="1"/>
  <c r="FR126" i="16"/>
  <c r="W13" i="2" s="1"/>
  <c r="AH126" i="16"/>
  <c r="I13" i="2" s="1"/>
  <c r="FH126" i="16"/>
  <c r="V13" i="2" s="1"/>
  <c r="CP126" i="16"/>
  <c r="O13" i="2" s="1"/>
  <c r="AR126" i="16"/>
  <c r="J13" i="2" s="1"/>
  <c r="BB126" i="16"/>
  <c r="K13" i="2" s="1"/>
  <c r="BL126" i="16"/>
  <c r="L13" i="2" s="1"/>
  <c r="EN126" i="16"/>
  <c r="T13" i="2" s="1"/>
  <c r="DT126" i="16"/>
  <c r="R13" i="2" s="1"/>
  <c r="DJ126" i="16"/>
  <c r="Q13" i="2" s="1"/>
  <c r="CZ126" i="16"/>
  <c r="P13" i="2" s="1"/>
  <c r="ED126" i="16"/>
  <c r="S13" i="2" s="1"/>
  <c r="GB126" i="16"/>
  <c r="X13" i="2" s="1"/>
  <c r="GL126" i="16"/>
  <c r="Y13" i="2" s="1"/>
  <c r="GV126" i="16"/>
  <c r="Z13" i="2" s="1"/>
  <c r="BV126" i="16"/>
  <c r="M13" i="2" s="1"/>
  <c r="CF126" i="16"/>
  <c r="N13" i="2" s="1"/>
  <c r="EX126" i="16"/>
  <c r="U13" i="2" s="1"/>
  <c r="N126" i="16"/>
  <c r="G13" i="2" s="1"/>
  <c r="H12" i="2"/>
  <c r="S126" i="16"/>
  <c r="G15" i="2" l="1"/>
  <c r="N15" i="2"/>
  <c r="Z15" i="2"/>
  <c r="X15" i="2"/>
  <c r="P15" i="2"/>
  <c r="R15" i="2"/>
  <c r="L15" i="2"/>
  <c r="J15" i="2"/>
  <c r="V15" i="2"/>
  <c r="W15" i="2"/>
  <c r="U15" i="2"/>
  <c r="M15" i="2"/>
  <c r="Y15" i="2"/>
  <c r="S15" i="2"/>
  <c r="Q15" i="2"/>
  <c r="T15" i="2"/>
  <c r="K15" i="2"/>
  <c r="O15" i="2"/>
  <c r="I15" i="2"/>
  <c r="H15" i="2"/>
  <c r="H73" i="2" s="1"/>
  <c r="G14" i="2"/>
  <c r="K96" i="2"/>
  <c r="U96" i="2"/>
  <c r="O96" i="2"/>
  <c r="G96" i="2"/>
  <c r="W96" i="2"/>
  <c r="X96" i="2"/>
  <c r="Q96" i="2"/>
  <c r="S62" i="2"/>
  <c r="S96" i="2"/>
  <c r="J62" i="2"/>
  <c r="J96" i="2"/>
  <c r="Y62" i="2"/>
  <c r="Y96" i="2"/>
  <c r="N62" i="2"/>
  <c r="N96" i="2"/>
  <c r="L62" i="2"/>
  <c r="L96" i="2"/>
  <c r="Z62" i="2"/>
  <c r="Z96" i="2"/>
  <c r="I62" i="2"/>
  <c r="I96" i="2"/>
  <c r="P62" i="2"/>
  <c r="P96" i="2"/>
  <c r="V62" i="2"/>
  <c r="V96" i="2"/>
  <c r="U62" i="2"/>
  <c r="K62" i="2"/>
  <c r="O62" i="2"/>
  <c r="G62" i="2"/>
  <c r="W62" i="2"/>
  <c r="X62" i="2"/>
  <c r="Q62" i="2"/>
  <c r="G32" i="2"/>
  <c r="G33" i="2" s="1"/>
  <c r="G79" i="2" s="1"/>
  <c r="C32" i="20" s="1"/>
  <c r="W49" i="2"/>
  <c r="W50" i="2" s="1"/>
  <c r="Q70" i="2"/>
  <c r="G70" i="2"/>
  <c r="O70" i="2"/>
  <c r="X70" i="2"/>
  <c r="M14" i="2"/>
  <c r="Z49" i="2"/>
  <c r="Z50" i="2" s="1"/>
  <c r="Z70" i="2"/>
  <c r="I49" i="2"/>
  <c r="I50" i="2" s="1"/>
  <c r="K49" i="2"/>
  <c r="K50" i="2" s="1"/>
  <c r="Q14" i="2"/>
  <c r="Q49" i="2"/>
  <c r="Q50" i="2" s="1"/>
  <c r="X49" i="2"/>
  <c r="X50" i="2" s="1"/>
  <c r="O14" i="2"/>
  <c r="I14" i="2"/>
  <c r="I70" i="2"/>
  <c r="Y14" i="2"/>
  <c r="Y70" i="2"/>
  <c r="N49" i="2"/>
  <c r="N50" i="2" s="1"/>
  <c r="N70" i="2"/>
  <c r="L49" i="2"/>
  <c r="L50" i="2" s="1"/>
  <c r="L70" i="2"/>
  <c r="G49" i="2"/>
  <c r="G50" i="2" s="1"/>
  <c r="O49" i="2"/>
  <c r="O50" i="2" s="1"/>
  <c r="U49" i="2"/>
  <c r="U50" i="2" s="1"/>
  <c r="X14" i="2"/>
  <c r="Y49" i="2"/>
  <c r="Y50" i="2" s="1"/>
  <c r="K70" i="2"/>
  <c r="K14" i="2"/>
  <c r="L14" i="2"/>
  <c r="Z14" i="2"/>
  <c r="N14" i="2"/>
  <c r="V70" i="2"/>
  <c r="V14" i="2"/>
  <c r="W70" i="2"/>
  <c r="U70" i="2"/>
  <c r="V49" i="2"/>
  <c r="V50" i="2" s="1"/>
  <c r="U14" i="2"/>
  <c r="W14" i="2"/>
  <c r="S14" i="2"/>
  <c r="S49" i="2"/>
  <c r="S50" i="2" s="1"/>
  <c r="S70" i="2"/>
  <c r="J14" i="2"/>
  <c r="J49" i="2"/>
  <c r="J50" i="2" s="1"/>
  <c r="J70" i="2"/>
  <c r="P14" i="2"/>
  <c r="P70" i="2"/>
  <c r="P49" i="2"/>
  <c r="P50" i="2" s="1"/>
  <c r="G24" i="2" l="1"/>
  <c r="I16" i="2"/>
  <c r="I25" i="2" s="1"/>
  <c r="Q24" i="2"/>
  <c r="U24" i="2"/>
  <c r="L16" i="2"/>
  <c r="L25" i="2" s="1"/>
  <c r="Z24" i="2"/>
  <c r="Z16" i="2"/>
  <c r="Z36" i="2" s="1"/>
  <c r="Z37" i="2" s="1"/>
  <c r="Z38" i="2" s="1"/>
  <c r="Z80" i="2" s="1"/>
  <c r="V33" i="20" s="1"/>
  <c r="O16" i="2"/>
  <c r="O36" i="2" s="1"/>
  <c r="O37" i="2" s="1"/>
  <c r="O38" i="2" s="1"/>
  <c r="O80" i="2" s="1"/>
  <c r="K33" i="20" s="1"/>
  <c r="S16" i="2"/>
  <c r="S25" i="2" s="1"/>
  <c r="W24" i="2"/>
  <c r="R24" i="2"/>
  <c r="N16" i="2"/>
  <c r="N25" i="2" s="1"/>
  <c r="K24" i="2"/>
  <c r="Y16" i="2"/>
  <c r="Y36" i="2" s="1"/>
  <c r="Y37" i="2" s="1"/>
  <c r="Y38" i="2" s="1"/>
  <c r="Y80" i="2" s="1"/>
  <c r="U33" i="20" s="1"/>
  <c r="V16" i="2"/>
  <c r="V36" i="2" s="1"/>
  <c r="V37" i="2" s="1"/>
  <c r="V38" i="2" s="1"/>
  <c r="V80" i="2" s="1"/>
  <c r="R33" i="20" s="1"/>
  <c r="P16" i="2"/>
  <c r="P36" i="2" s="1"/>
  <c r="P37" i="2" s="1"/>
  <c r="P38" i="2" s="1"/>
  <c r="P80" i="2" s="1"/>
  <c r="L33" i="20" s="1"/>
  <c r="H24" i="2"/>
  <c r="T24" i="2"/>
  <c r="M24" i="2"/>
  <c r="J16" i="2"/>
  <c r="J25" i="2" s="1"/>
  <c r="X24" i="2"/>
  <c r="L73" i="2"/>
  <c r="L74" i="2" s="1"/>
  <c r="L90" i="2" s="1"/>
  <c r="H40" i="20" s="1"/>
  <c r="S41" i="2"/>
  <c r="S42" i="2" s="1"/>
  <c r="S43" i="2" s="1"/>
  <c r="S81" i="2" s="1"/>
  <c r="O34" i="20" s="1"/>
  <c r="L41" i="2"/>
  <c r="L42" i="2" s="1"/>
  <c r="L43" i="2" s="1"/>
  <c r="L81" i="2" s="1"/>
  <c r="H34" i="20" s="1"/>
  <c r="U16" i="2"/>
  <c r="U45" i="2" s="1"/>
  <c r="U46" i="2" s="1"/>
  <c r="U82" i="2" s="1"/>
  <c r="Q35" i="20" s="1"/>
  <c r="X16" i="2"/>
  <c r="X36" i="2" s="1"/>
  <c r="X37" i="2" s="1"/>
  <c r="X38" i="2" s="1"/>
  <c r="X80" i="2" s="1"/>
  <c r="T33" i="20" s="1"/>
  <c r="K16" i="2"/>
  <c r="K36" i="2" s="1"/>
  <c r="K37" i="2" s="1"/>
  <c r="K38" i="2" s="1"/>
  <c r="K80" i="2" s="1"/>
  <c r="G33" i="20" s="1"/>
  <c r="J73" i="2"/>
  <c r="J74" i="2" s="1"/>
  <c r="J90" i="2" s="1"/>
  <c r="F40" i="20" s="1"/>
  <c r="J41" i="2"/>
  <c r="J42" i="2" s="1"/>
  <c r="J43" i="2" s="1"/>
  <c r="J81" i="2" s="1"/>
  <c r="F34" i="20" s="1"/>
  <c r="I73" i="2"/>
  <c r="I74" i="2" s="1"/>
  <c r="I90" i="2" s="1"/>
  <c r="E40" i="20" s="1"/>
  <c r="Q16" i="2"/>
  <c r="Q36" i="2" s="1"/>
  <c r="Q37" i="2" s="1"/>
  <c r="Q38" i="2" s="1"/>
  <c r="Q80" i="2" s="1"/>
  <c r="M33" i="20" s="1"/>
  <c r="I41" i="2"/>
  <c r="I42" i="2" s="1"/>
  <c r="I43" i="2" s="1"/>
  <c r="I81" i="2" s="1"/>
  <c r="E34" i="20" s="1"/>
  <c r="L24" i="2"/>
  <c r="I24" i="2"/>
  <c r="N41" i="2"/>
  <c r="N42" i="2" s="1"/>
  <c r="N43" i="2" s="1"/>
  <c r="N81" i="2" s="1"/>
  <c r="J34" i="20" s="1"/>
  <c r="J24" i="2"/>
  <c r="S73" i="2"/>
  <c r="S74" i="2" s="1"/>
  <c r="S90" i="2" s="1"/>
  <c r="O40" i="20" s="1"/>
  <c r="N73" i="2"/>
  <c r="N74" i="2" s="1"/>
  <c r="N90" i="2" s="1"/>
  <c r="J40" i="20" s="1"/>
  <c r="W16" i="2"/>
  <c r="W36" i="2" s="1"/>
  <c r="W37" i="2" s="1"/>
  <c r="W38" i="2" s="1"/>
  <c r="W80" i="2" s="1"/>
  <c r="S33" i="20" s="1"/>
  <c r="P24" i="2"/>
  <c r="O24" i="2"/>
  <c r="S24" i="2"/>
  <c r="N24" i="2"/>
  <c r="Y24" i="2"/>
  <c r="V24" i="2"/>
  <c r="Y73" i="2"/>
  <c r="Y74" i="2" s="1"/>
  <c r="Y90" i="2" s="1"/>
  <c r="U40" i="20" s="1"/>
  <c r="V73" i="2"/>
  <c r="V74" i="2" s="1"/>
  <c r="V90" i="2" s="1"/>
  <c r="R40" i="20" s="1"/>
  <c r="V41" i="2"/>
  <c r="V42" i="2" s="1"/>
  <c r="V43" i="2" s="1"/>
  <c r="V81" i="2" s="1"/>
  <c r="R34" i="20" s="1"/>
  <c r="P41" i="2"/>
  <c r="P42" i="2" s="1"/>
  <c r="P43" i="2" s="1"/>
  <c r="P81" i="2" s="1"/>
  <c r="L34" i="20" s="1"/>
  <c r="Y41" i="2"/>
  <c r="Y42" i="2" s="1"/>
  <c r="Y43" i="2" s="1"/>
  <c r="Y81" i="2" s="1"/>
  <c r="U34" i="20" s="1"/>
  <c r="P73" i="2"/>
  <c r="P74" i="2" s="1"/>
  <c r="P90" i="2" s="1"/>
  <c r="L40" i="20" s="1"/>
  <c r="Z73" i="2"/>
  <c r="Z74" i="2" s="1"/>
  <c r="Z90" i="2" s="1"/>
  <c r="V40" i="20" s="1"/>
  <c r="K41" i="2"/>
  <c r="K42" i="2" s="1"/>
  <c r="K43" i="2" s="1"/>
  <c r="K81" i="2" s="1"/>
  <c r="G34" i="20" s="1"/>
  <c r="Z41" i="2"/>
  <c r="Z42" i="2" s="1"/>
  <c r="Z43" i="2" s="1"/>
  <c r="Z81" i="2" s="1"/>
  <c r="V34" i="20" s="1"/>
  <c r="K73" i="2"/>
  <c r="K74" i="2" s="1"/>
  <c r="K90" i="2" s="1"/>
  <c r="G40" i="20" s="1"/>
  <c r="O73" i="2"/>
  <c r="O74" i="2" s="1"/>
  <c r="O90" i="2" s="1"/>
  <c r="K40" i="20" s="1"/>
  <c r="U73" i="2"/>
  <c r="U74" i="2" s="1"/>
  <c r="U90" i="2" s="1"/>
  <c r="Q40" i="20" s="1"/>
  <c r="G16" i="2"/>
  <c r="G45" i="2" s="1"/>
  <c r="G46" i="2" s="1"/>
  <c r="G82" i="2" s="1"/>
  <c r="C35" i="20" s="1"/>
  <c r="C4" i="20"/>
  <c r="D47" i="20" s="1"/>
  <c r="G73" i="2"/>
  <c r="G74" i="2" s="1"/>
  <c r="G90" i="2" s="1"/>
  <c r="C40" i="20" s="1"/>
  <c r="W73" i="2"/>
  <c r="W74" i="2" s="1"/>
  <c r="W90" i="2" s="1"/>
  <c r="S40" i="20" s="1"/>
  <c r="Q73" i="2"/>
  <c r="Q74" i="2" s="1"/>
  <c r="Q90" i="2" s="1"/>
  <c r="M40" i="20" s="1"/>
  <c r="X73" i="2"/>
  <c r="X74" i="2" s="1"/>
  <c r="X90" i="2" s="1"/>
  <c r="T40" i="20" s="1"/>
  <c r="T96" i="2"/>
  <c r="T16" i="2"/>
  <c r="T26" i="2" s="1"/>
  <c r="M96" i="2"/>
  <c r="M41" i="2"/>
  <c r="M42" i="2" s="1"/>
  <c r="M43" i="2" s="1"/>
  <c r="M81" i="2" s="1"/>
  <c r="I34" i="20" s="1"/>
  <c r="H96" i="2"/>
  <c r="H16" i="2"/>
  <c r="H26" i="2" s="1"/>
  <c r="R96" i="2"/>
  <c r="R16" i="2"/>
  <c r="R26" i="2" s="1"/>
  <c r="Q41" i="2"/>
  <c r="Q42" i="2" s="1"/>
  <c r="Q43" i="2" s="1"/>
  <c r="Q81" i="2" s="1"/>
  <c r="M34" i="20" s="1"/>
  <c r="X41" i="2"/>
  <c r="X42" i="2" s="1"/>
  <c r="X43" i="2" s="1"/>
  <c r="X81" i="2" s="1"/>
  <c r="T34" i="20" s="1"/>
  <c r="W41" i="2"/>
  <c r="W42" i="2" s="1"/>
  <c r="W43" i="2" s="1"/>
  <c r="W81" i="2" s="1"/>
  <c r="S34" i="20" s="1"/>
  <c r="G41" i="2"/>
  <c r="G42" i="2" s="1"/>
  <c r="G43" i="2" s="1"/>
  <c r="G81" i="2" s="1"/>
  <c r="C34" i="20" s="1"/>
  <c r="O41" i="2"/>
  <c r="O42" i="2" s="1"/>
  <c r="U41" i="2"/>
  <c r="U42" i="2" s="1"/>
  <c r="U43" i="2" s="1"/>
  <c r="U81" i="2" s="1"/>
  <c r="Q34" i="20" s="1"/>
  <c r="T62" i="2"/>
  <c r="M49" i="2"/>
  <c r="M50" i="2" s="1"/>
  <c r="M83" i="2" s="1"/>
  <c r="I36" i="20" s="1"/>
  <c r="M62" i="2"/>
  <c r="H62" i="2"/>
  <c r="R62" i="2"/>
  <c r="M70" i="2"/>
  <c r="P83" i="2"/>
  <c r="L36" i="20" s="1"/>
  <c r="J83" i="2"/>
  <c r="F36" i="20" s="1"/>
  <c r="V83" i="2"/>
  <c r="R36" i="20" s="1"/>
  <c r="O83" i="2"/>
  <c r="K36" i="20" s="1"/>
  <c r="G83" i="2"/>
  <c r="C36" i="20" s="1"/>
  <c r="L83" i="2"/>
  <c r="H36" i="20" s="1"/>
  <c r="X83" i="2"/>
  <c r="T36" i="20" s="1"/>
  <c r="I83" i="2"/>
  <c r="E36" i="20" s="1"/>
  <c r="Z83" i="2"/>
  <c r="V36" i="20" s="1"/>
  <c r="W83" i="2"/>
  <c r="S36" i="20" s="1"/>
  <c r="S83" i="2"/>
  <c r="O36" i="20" s="1"/>
  <c r="Y83" i="2"/>
  <c r="U36" i="20" s="1"/>
  <c r="U83" i="2"/>
  <c r="Q36" i="20" s="1"/>
  <c r="N83" i="2"/>
  <c r="J36" i="20" s="1"/>
  <c r="Q83" i="2"/>
  <c r="M36" i="20" s="1"/>
  <c r="K83" i="2"/>
  <c r="G36" i="20" s="1"/>
  <c r="T70" i="2"/>
  <c r="J66" i="2"/>
  <c r="J67" i="2" s="1"/>
  <c r="J32" i="2"/>
  <c r="J33" i="2" s="1"/>
  <c r="J79" i="2" s="1"/>
  <c r="F32" i="20" s="1"/>
  <c r="U66" i="2"/>
  <c r="U67" i="2" s="1"/>
  <c r="U32" i="2"/>
  <c r="U33" i="2" s="1"/>
  <c r="U79" i="2" s="1"/>
  <c r="Q32" i="20" s="1"/>
  <c r="Z66" i="2"/>
  <c r="Z67" i="2" s="1"/>
  <c r="Z32" i="2"/>
  <c r="K66" i="2"/>
  <c r="K67" i="2" s="1"/>
  <c r="K32" i="2"/>
  <c r="K33" i="2" s="1"/>
  <c r="K79" i="2" s="1"/>
  <c r="G32" i="20" s="1"/>
  <c r="X66" i="2"/>
  <c r="X67" i="2" s="1"/>
  <c r="X32" i="2"/>
  <c r="X33" i="2" s="1"/>
  <c r="X79" i="2" s="1"/>
  <c r="T32" i="20" s="1"/>
  <c r="Y66" i="2"/>
  <c r="Y67" i="2" s="1"/>
  <c r="Y32" i="2"/>
  <c r="Y33" i="2" s="1"/>
  <c r="Y79" i="2" s="1"/>
  <c r="U32" i="20" s="1"/>
  <c r="O66" i="2"/>
  <c r="O67" i="2" s="1"/>
  <c r="O32" i="2"/>
  <c r="P66" i="2"/>
  <c r="P67" i="2" s="1"/>
  <c r="P32" i="2"/>
  <c r="P33" i="2" s="1"/>
  <c r="P79" i="2" s="1"/>
  <c r="L32" i="20" s="1"/>
  <c r="S66" i="2"/>
  <c r="S67" i="2" s="1"/>
  <c r="S32" i="2"/>
  <c r="S33" i="2" s="1"/>
  <c r="S79" i="2" s="1"/>
  <c r="O32" i="20" s="1"/>
  <c r="W66" i="2"/>
  <c r="W67" i="2" s="1"/>
  <c r="W32" i="2"/>
  <c r="W33" i="2" s="1"/>
  <c r="W79" i="2" s="1"/>
  <c r="S32" i="20" s="1"/>
  <c r="V66" i="2"/>
  <c r="V32" i="2"/>
  <c r="V33" i="2" s="1"/>
  <c r="V79" i="2" s="1"/>
  <c r="R32" i="20" s="1"/>
  <c r="N66" i="2"/>
  <c r="N67" i="2" s="1"/>
  <c r="N32" i="2"/>
  <c r="N33" i="2" s="1"/>
  <c r="N79" i="2" s="1"/>
  <c r="J32" i="20" s="1"/>
  <c r="L66" i="2"/>
  <c r="L67" i="2" s="1"/>
  <c r="L32" i="2"/>
  <c r="L33" i="2" s="1"/>
  <c r="L79" i="2" s="1"/>
  <c r="H32" i="20" s="1"/>
  <c r="I66" i="2"/>
  <c r="I32" i="2"/>
  <c r="Q66" i="2"/>
  <c r="Q67" i="2" s="1"/>
  <c r="Q32" i="2"/>
  <c r="Q33" i="2" s="1"/>
  <c r="Q79" i="2" s="1"/>
  <c r="M32" i="20" s="1"/>
  <c r="M66" i="2"/>
  <c r="M67" i="2" s="1"/>
  <c r="M32" i="2"/>
  <c r="M33" i="2" s="1"/>
  <c r="M79" i="2" s="1"/>
  <c r="I32" i="20" s="1"/>
  <c r="G66" i="2"/>
  <c r="R70" i="2"/>
  <c r="R14" i="2"/>
  <c r="H14" i="2"/>
  <c r="T49" i="2"/>
  <c r="T50" i="2" s="1"/>
  <c r="T14" i="2"/>
  <c r="H70" i="2"/>
  <c r="H49" i="2"/>
  <c r="H50" i="2" s="1"/>
  <c r="R49" i="2"/>
  <c r="R50" i="2" s="1"/>
  <c r="I36" i="2" l="1"/>
  <c r="I37" i="2" s="1"/>
  <c r="I38" i="2" s="1"/>
  <c r="I80" i="2" s="1"/>
  <c r="E33" i="20" s="1"/>
  <c r="L45" i="2"/>
  <c r="L46" i="2" s="1"/>
  <c r="L82" i="2" s="1"/>
  <c r="H35" i="20" s="1"/>
  <c r="I45" i="2"/>
  <c r="I46" i="2" s="1"/>
  <c r="I82" i="2" s="1"/>
  <c r="E35" i="20" s="1"/>
  <c r="Z45" i="2"/>
  <c r="Z46" i="2" s="1"/>
  <c r="Z82" i="2" s="1"/>
  <c r="V35" i="20" s="1"/>
  <c r="V45" i="2"/>
  <c r="V46" i="2" s="1"/>
  <c r="V82" i="2" s="1"/>
  <c r="R35" i="20" s="1"/>
  <c r="V5" i="20"/>
  <c r="E104" i="20" s="1"/>
  <c r="Z25" i="2"/>
  <c r="S36" i="2"/>
  <c r="S37" i="2" s="1"/>
  <c r="S38" i="2" s="1"/>
  <c r="S80" i="2" s="1"/>
  <c r="O33" i="20" s="1"/>
  <c r="L36" i="2"/>
  <c r="L37" i="2" s="1"/>
  <c r="L38" i="2" s="1"/>
  <c r="L80" i="2" s="1"/>
  <c r="H33" i="20" s="1"/>
  <c r="X26" i="2"/>
  <c r="R5" i="20"/>
  <c r="E92" i="20" s="1"/>
  <c r="K26" i="2"/>
  <c r="U26" i="2"/>
  <c r="L26" i="2"/>
  <c r="L28" i="2" s="1"/>
  <c r="L29" i="2" s="1"/>
  <c r="O26" i="2"/>
  <c r="O28" i="2" s="1"/>
  <c r="O29" i="2" s="1"/>
  <c r="H6" i="20"/>
  <c r="F62" i="20" s="1"/>
  <c r="O45" i="2"/>
  <c r="O46" i="2" s="1"/>
  <c r="O82" i="2" s="1"/>
  <c r="K35" i="20" s="1"/>
  <c r="P26" i="2"/>
  <c r="P28" i="2" s="1"/>
  <c r="P29" i="2" s="1"/>
  <c r="N26" i="2"/>
  <c r="N28" i="2" s="1"/>
  <c r="N29" i="2" s="1"/>
  <c r="O6" i="20"/>
  <c r="F83" i="20" s="1"/>
  <c r="K45" i="2"/>
  <c r="K46" i="2" s="1"/>
  <c r="K82" i="2" s="1"/>
  <c r="G35" i="20" s="1"/>
  <c r="V26" i="2"/>
  <c r="V28" i="2" s="1"/>
  <c r="V29" i="2" s="1"/>
  <c r="W26" i="2"/>
  <c r="J26" i="2"/>
  <c r="J28" i="2" s="1"/>
  <c r="J29" i="2" s="1"/>
  <c r="Q26" i="2"/>
  <c r="K5" i="20"/>
  <c r="E71" i="20" s="1"/>
  <c r="V25" i="2"/>
  <c r="P25" i="2"/>
  <c r="G26" i="2"/>
  <c r="Y26" i="2"/>
  <c r="Z26" i="2"/>
  <c r="Z28" i="2" s="1"/>
  <c r="Z29" i="2" s="1"/>
  <c r="S26" i="2"/>
  <c r="S28" i="2" s="1"/>
  <c r="S29" i="2" s="1"/>
  <c r="I26" i="2"/>
  <c r="I28" i="2" s="1"/>
  <c r="I29" i="2" s="1"/>
  <c r="Y45" i="2"/>
  <c r="Y46" i="2" s="1"/>
  <c r="Y82" i="2" s="1"/>
  <c r="U35" i="20" s="1"/>
  <c r="N45" i="2"/>
  <c r="N46" i="2" s="1"/>
  <c r="N82" i="2" s="1"/>
  <c r="J35" i="20" s="1"/>
  <c r="U5" i="20"/>
  <c r="E101" i="20" s="1"/>
  <c r="Y25" i="2"/>
  <c r="N36" i="2"/>
  <c r="N37" i="2" s="1"/>
  <c r="N38" i="2" s="1"/>
  <c r="N80" i="2" s="1"/>
  <c r="J33" i="20" s="1"/>
  <c r="J36" i="2"/>
  <c r="J37" i="2" s="1"/>
  <c r="J38" i="2" s="1"/>
  <c r="J80" i="2" s="1"/>
  <c r="F33" i="20" s="1"/>
  <c r="L5" i="20"/>
  <c r="E74" i="20" s="1"/>
  <c r="P45" i="2"/>
  <c r="P46" i="2" s="1"/>
  <c r="P82" i="2" s="1"/>
  <c r="L35" i="20" s="1"/>
  <c r="O25" i="2"/>
  <c r="J45" i="2"/>
  <c r="J46" i="2" s="1"/>
  <c r="J82" i="2" s="1"/>
  <c r="F35" i="20" s="1"/>
  <c r="S45" i="2"/>
  <c r="S46" i="2" s="1"/>
  <c r="S82" i="2" s="1"/>
  <c r="O35" i="20" s="1"/>
  <c r="T5" i="20"/>
  <c r="E98" i="20" s="1"/>
  <c r="W25" i="2"/>
  <c r="X45" i="2"/>
  <c r="X46" i="2" s="1"/>
  <c r="X82" i="2" s="1"/>
  <c r="T35" i="20" s="1"/>
  <c r="Q45" i="2"/>
  <c r="Q46" i="2" s="1"/>
  <c r="Q82" i="2" s="1"/>
  <c r="M35" i="20" s="1"/>
  <c r="U36" i="2"/>
  <c r="U37" i="2" s="1"/>
  <c r="U38" i="2" s="1"/>
  <c r="U80" i="2" s="1"/>
  <c r="Q33" i="20" s="1"/>
  <c r="X25" i="2"/>
  <c r="U25" i="2"/>
  <c r="G5" i="20"/>
  <c r="E59" i="20" s="1"/>
  <c r="K25" i="2"/>
  <c r="L6" i="20"/>
  <c r="F74" i="20" s="1"/>
  <c r="M5" i="20"/>
  <c r="E77" i="20" s="1"/>
  <c r="Q25" i="2"/>
  <c r="F6" i="20"/>
  <c r="F56" i="20" s="1"/>
  <c r="E6" i="20"/>
  <c r="F53" i="20" s="1"/>
  <c r="W45" i="2"/>
  <c r="W46" i="2" s="1"/>
  <c r="W82" i="2" s="1"/>
  <c r="S35" i="20" s="1"/>
  <c r="S5" i="20"/>
  <c r="E95" i="20" s="1"/>
  <c r="U6" i="20"/>
  <c r="F101" i="20" s="1"/>
  <c r="J6" i="20"/>
  <c r="F68" i="20" s="1"/>
  <c r="H36" i="2"/>
  <c r="H37" i="2" s="1"/>
  <c r="H38" i="2" s="1"/>
  <c r="H80" i="2" s="1"/>
  <c r="D33" i="20" s="1"/>
  <c r="H25" i="2"/>
  <c r="T36" i="2"/>
  <c r="T37" i="2" s="1"/>
  <c r="T38" i="2" s="1"/>
  <c r="T80" i="2" s="1"/>
  <c r="P33" i="20" s="1"/>
  <c r="T25" i="2"/>
  <c r="G36" i="2"/>
  <c r="G37" i="2" s="1"/>
  <c r="G38" i="2" s="1"/>
  <c r="G80" i="2" s="1"/>
  <c r="C33" i="20" s="1"/>
  <c r="G25" i="2"/>
  <c r="R36" i="2"/>
  <c r="R37" i="2" s="1"/>
  <c r="R38" i="2" s="1"/>
  <c r="R80" i="2" s="1"/>
  <c r="N33" i="20" s="1"/>
  <c r="R25" i="2"/>
  <c r="R6" i="20"/>
  <c r="F92" i="20" s="1"/>
  <c r="V6" i="20"/>
  <c r="F104" i="20" s="1"/>
  <c r="G6" i="20"/>
  <c r="F59" i="20" s="1"/>
  <c r="O43" i="2"/>
  <c r="O81" i="2" s="1"/>
  <c r="H74" i="2"/>
  <c r="H90" i="2" s="1"/>
  <c r="D40" i="20" s="1"/>
  <c r="T73" i="2"/>
  <c r="T74" i="2" s="1"/>
  <c r="T90" i="2" s="1"/>
  <c r="P40" i="20" s="1"/>
  <c r="R73" i="2"/>
  <c r="R74" i="2" s="1"/>
  <c r="R90" i="2" s="1"/>
  <c r="N40" i="20" s="1"/>
  <c r="H45" i="2"/>
  <c r="H46" i="2" s="1"/>
  <c r="T45" i="2"/>
  <c r="T46" i="2" s="1"/>
  <c r="R45" i="2"/>
  <c r="R46" i="2" s="1"/>
  <c r="M4" i="20"/>
  <c r="D77" i="20" s="1"/>
  <c r="H4" i="20"/>
  <c r="D62" i="20" s="1"/>
  <c r="R4" i="20"/>
  <c r="D92" i="20" s="1"/>
  <c r="O4" i="20"/>
  <c r="D83" i="20" s="1"/>
  <c r="U4" i="20"/>
  <c r="D101" i="20" s="1"/>
  <c r="G4" i="20"/>
  <c r="D59" i="20" s="1"/>
  <c r="Q4" i="20"/>
  <c r="D89" i="20" s="1"/>
  <c r="F4" i="20"/>
  <c r="D56" i="20" s="1"/>
  <c r="I6" i="20"/>
  <c r="F65" i="20" s="1"/>
  <c r="M8" i="20"/>
  <c r="H77" i="20" s="1"/>
  <c r="Q8" i="20"/>
  <c r="H89" i="20" s="1"/>
  <c r="O8" i="20"/>
  <c r="H83" i="20" s="1"/>
  <c r="E8" i="20"/>
  <c r="C8" i="20"/>
  <c r="H47" i="20" s="1"/>
  <c r="Q7" i="20"/>
  <c r="G89" i="20" s="1"/>
  <c r="L8" i="20"/>
  <c r="H74" i="20" s="1"/>
  <c r="M12" i="20"/>
  <c r="K78" i="20" s="1"/>
  <c r="J12" i="20"/>
  <c r="K69" i="20" s="1"/>
  <c r="S12" i="20"/>
  <c r="K96" i="20" s="1"/>
  <c r="Q12" i="20"/>
  <c r="K90" i="20" s="1"/>
  <c r="U12" i="20"/>
  <c r="K102" i="20" s="1"/>
  <c r="R12" i="20"/>
  <c r="K93" i="20" s="1"/>
  <c r="O12" i="20"/>
  <c r="K84" i="20" s="1"/>
  <c r="I8" i="20"/>
  <c r="H65" i="20" s="1"/>
  <c r="Q6" i="20"/>
  <c r="F89" i="20" s="1"/>
  <c r="C6" i="20"/>
  <c r="F47" i="20" s="1"/>
  <c r="T6" i="20"/>
  <c r="F98" i="20" s="1"/>
  <c r="I4" i="20"/>
  <c r="D65" i="20" s="1"/>
  <c r="J4" i="20"/>
  <c r="D68" i="20" s="1"/>
  <c r="S4" i="20"/>
  <c r="D95" i="20" s="1"/>
  <c r="L4" i="20"/>
  <c r="D74" i="20" s="1"/>
  <c r="T4" i="20"/>
  <c r="D98" i="20" s="1"/>
  <c r="G8" i="20"/>
  <c r="H59" i="20" s="1"/>
  <c r="J8" i="20"/>
  <c r="H68" i="20" s="1"/>
  <c r="U8" i="20"/>
  <c r="H101" i="20" s="1"/>
  <c r="S8" i="20"/>
  <c r="H95" i="20" s="1"/>
  <c r="V8" i="20"/>
  <c r="H104" i="20" s="1"/>
  <c r="C7" i="20"/>
  <c r="G47" i="20" s="1"/>
  <c r="T8" i="20"/>
  <c r="H98" i="20" s="1"/>
  <c r="H8" i="20"/>
  <c r="H62" i="20" s="1"/>
  <c r="K8" i="20"/>
  <c r="H71" i="20" s="1"/>
  <c r="R8" i="20"/>
  <c r="H92" i="20" s="1"/>
  <c r="F8" i="20"/>
  <c r="H56" i="20" s="1"/>
  <c r="C12" i="20"/>
  <c r="K48" i="20" s="1"/>
  <c r="E12" i="20"/>
  <c r="H12" i="20"/>
  <c r="K63" i="20" s="1"/>
  <c r="L12" i="20"/>
  <c r="K75" i="20" s="1"/>
  <c r="K12" i="20"/>
  <c r="K72" i="20" s="1"/>
  <c r="V12" i="20"/>
  <c r="K105" i="20" s="1"/>
  <c r="G12" i="20"/>
  <c r="K60" i="20" s="1"/>
  <c r="F12" i="20"/>
  <c r="K57" i="20" s="1"/>
  <c r="S6" i="20"/>
  <c r="F95" i="20" s="1"/>
  <c r="M6" i="20"/>
  <c r="F77" i="20" s="1"/>
  <c r="T12" i="20"/>
  <c r="K99" i="20" s="1"/>
  <c r="G67" i="2"/>
  <c r="G88" i="2" s="1"/>
  <c r="C38" i="20" s="1"/>
  <c r="I67" i="2"/>
  <c r="I88" i="2" s="1"/>
  <c r="E38" i="20" s="1"/>
  <c r="V67" i="2"/>
  <c r="V88" i="2" s="1"/>
  <c r="R38" i="20" s="1"/>
  <c r="T41" i="2"/>
  <c r="T42" i="2" s="1"/>
  <c r="T43" i="2" s="1"/>
  <c r="T81" i="2" s="1"/>
  <c r="P34" i="20" s="1"/>
  <c r="M16" i="2"/>
  <c r="M26" i="2" s="1"/>
  <c r="M73" i="2"/>
  <c r="M74" i="2" s="1"/>
  <c r="M90" i="2" s="1"/>
  <c r="I40" i="20" s="1"/>
  <c r="R41" i="2"/>
  <c r="R42" i="2" s="1"/>
  <c r="R43" i="2" s="1"/>
  <c r="R81" i="2" s="1"/>
  <c r="N34" i="20" s="1"/>
  <c r="H41" i="2"/>
  <c r="H42" i="2" s="1"/>
  <c r="H43" i="2" s="1"/>
  <c r="H81" i="2" s="1"/>
  <c r="D34" i="20" s="1"/>
  <c r="O88" i="2"/>
  <c r="K38" i="20" s="1"/>
  <c r="Y88" i="2"/>
  <c r="U38" i="20" s="1"/>
  <c r="X88" i="2"/>
  <c r="T38" i="20" s="1"/>
  <c r="K88" i="2"/>
  <c r="G38" i="20" s="1"/>
  <c r="Z88" i="2"/>
  <c r="V38" i="20" s="1"/>
  <c r="U88" i="2"/>
  <c r="Q38" i="20" s="1"/>
  <c r="J88" i="2"/>
  <c r="F38" i="20" s="1"/>
  <c r="M88" i="2"/>
  <c r="I38" i="20" s="1"/>
  <c r="Q88" i="2"/>
  <c r="M38" i="20" s="1"/>
  <c r="L88" i="2"/>
  <c r="H38" i="20" s="1"/>
  <c r="N88" i="2"/>
  <c r="J38" i="20" s="1"/>
  <c r="W88" i="2"/>
  <c r="S38" i="20" s="1"/>
  <c r="S88" i="2"/>
  <c r="O38" i="20" s="1"/>
  <c r="P88" i="2"/>
  <c r="L38" i="20" s="1"/>
  <c r="R83" i="2"/>
  <c r="N36" i="20" s="1"/>
  <c r="H83" i="2"/>
  <c r="D36" i="20" s="1"/>
  <c r="T83" i="2"/>
  <c r="P36" i="20" s="1"/>
  <c r="Z33" i="2"/>
  <c r="Z79" i="2" s="1"/>
  <c r="V32" i="20" s="1"/>
  <c r="I33" i="2"/>
  <c r="I79" i="2" s="1"/>
  <c r="E32" i="20" s="1"/>
  <c r="O33" i="2"/>
  <c r="O79" i="2" s="1"/>
  <c r="K32" i="20" s="1"/>
  <c r="R66" i="2"/>
  <c r="R67" i="2" s="1"/>
  <c r="R32" i="2"/>
  <c r="R33" i="2" s="1"/>
  <c r="R79" i="2" s="1"/>
  <c r="N32" i="20" s="1"/>
  <c r="T66" i="2"/>
  <c r="T67" i="2" s="1"/>
  <c r="T32" i="2"/>
  <c r="T33" i="2" s="1"/>
  <c r="T79" i="2" s="1"/>
  <c r="P32" i="20" s="1"/>
  <c r="H66" i="2"/>
  <c r="H32" i="2"/>
  <c r="H33" i="2" s="1"/>
  <c r="H79" i="2" s="1"/>
  <c r="D32" i="20" s="1"/>
  <c r="Z97" i="2" l="1"/>
  <c r="L97" i="2"/>
  <c r="H15" i="20" s="1"/>
  <c r="S97" i="2"/>
  <c r="O15" i="20" s="1"/>
  <c r="J30" i="2"/>
  <c r="J78" i="2" s="1"/>
  <c r="J84" i="2" s="1"/>
  <c r="N50" i="20" s="1"/>
  <c r="J97" i="2"/>
  <c r="F15" i="20" s="1"/>
  <c r="N97" i="2"/>
  <c r="J15" i="20" s="1"/>
  <c r="O30" i="2"/>
  <c r="O78" i="2" s="1"/>
  <c r="K31" i="20" s="1"/>
  <c r="O97" i="2"/>
  <c r="K15" i="20" s="1"/>
  <c r="V30" i="2"/>
  <c r="V78" i="2" s="1"/>
  <c r="R31" i="20" s="1"/>
  <c r="R42" i="20" s="1"/>
  <c r="V97" i="2"/>
  <c r="R15" i="20" s="1"/>
  <c r="P30" i="2"/>
  <c r="P78" i="2" s="1"/>
  <c r="L31" i="20" s="1"/>
  <c r="L42" i="20" s="1"/>
  <c r="P97" i="2"/>
  <c r="L15" i="20" s="1"/>
  <c r="I97" i="2"/>
  <c r="E15" i="20" s="1"/>
  <c r="H7" i="20"/>
  <c r="G62" i="20" s="1"/>
  <c r="E5" i="20"/>
  <c r="V7" i="20"/>
  <c r="G104" i="20" s="1"/>
  <c r="R7" i="20"/>
  <c r="G92" i="20" s="1"/>
  <c r="E7" i="20"/>
  <c r="G53" i="20" s="1"/>
  <c r="H5" i="20"/>
  <c r="E62" i="20" s="1"/>
  <c r="G7" i="20"/>
  <c r="G59" i="20" s="1"/>
  <c r="O5" i="20"/>
  <c r="E83" i="20" s="1"/>
  <c r="Y28" i="2"/>
  <c r="Y29" i="2" s="1"/>
  <c r="I30" i="2"/>
  <c r="I78" i="2" s="1"/>
  <c r="I84" i="2" s="1"/>
  <c r="N49" i="20" s="1"/>
  <c r="N30" i="2"/>
  <c r="N78" i="2" s="1"/>
  <c r="K7" i="20"/>
  <c r="G71" i="20" s="1"/>
  <c r="J7" i="20"/>
  <c r="G68" i="20" s="1"/>
  <c r="J5" i="20"/>
  <c r="E68" i="20" s="1"/>
  <c r="Z30" i="2"/>
  <c r="Z78" i="2" s="1"/>
  <c r="Z84" i="2" s="1"/>
  <c r="N66" i="20" s="1"/>
  <c r="V15" i="20"/>
  <c r="L30" i="2"/>
  <c r="L78" i="2" s="1"/>
  <c r="S30" i="2"/>
  <c r="S78" i="2" s="1"/>
  <c r="S84" i="2" s="1"/>
  <c r="N59" i="20" s="1"/>
  <c r="R28" i="2"/>
  <c r="R29" i="2" s="1"/>
  <c r="T28" i="2"/>
  <c r="T29" i="2" s="1"/>
  <c r="K28" i="2"/>
  <c r="K29" i="2" s="1"/>
  <c r="Q28" i="2"/>
  <c r="Q29" i="2" s="1"/>
  <c r="Q97" i="2" s="1"/>
  <c r="G28" i="2"/>
  <c r="G29" i="2" s="1"/>
  <c r="G97" i="2" s="1"/>
  <c r="H28" i="2"/>
  <c r="H29" i="2" s="1"/>
  <c r="U28" i="2"/>
  <c r="U29" i="2" s="1"/>
  <c r="X28" i="2"/>
  <c r="X29" i="2" s="1"/>
  <c r="W28" i="2"/>
  <c r="W29" i="2" s="1"/>
  <c r="M7" i="20"/>
  <c r="G77" i="20" s="1"/>
  <c r="F5" i="20"/>
  <c r="E56" i="20" s="1"/>
  <c r="M25" i="2"/>
  <c r="T7" i="20"/>
  <c r="G98" i="20" s="1"/>
  <c r="Q5" i="20"/>
  <c r="E89" i="20" s="1"/>
  <c r="P5" i="20"/>
  <c r="E86" i="20" s="1"/>
  <c r="C5" i="20"/>
  <c r="E47" i="20" s="1"/>
  <c r="D5" i="20"/>
  <c r="E53" i="20" s="1"/>
  <c r="N5" i="20"/>
  <c r="E80" i="20" s="1"/>
  <c r="K34" i="20"/>
  <c r="K42" i="20" s="1"/>
  <c r="K6" i="20"/>
  <c r="F71" i="20" s="1"/>
  <c r="K54" i="20"/>
  <c r="H53" i="20"/>
  <c r="E4" i="20"/>
  <c r="U7" i="20"/>
  <c r="G101" i="20" s="1"/>
  <c r="D8" i="20"/>
  <c r="H50" i="20" s="1"/>
  <c r="S7" i="20"/>
  <c r="G95" i="20" s="1"/>
  <c r="P84" i="2"/>
  <c r="N56" i="20" s="1"/>
  <c r="L7" i="20"/>
  <c r="G74" i="20" s="1"/>
  <c r="P91" i="2"/>
  <c r="O56" i="20" s="1"/>
  <c r="L10" i="20"/>
  <c r="I75" i="20" s="1"/>
  <c r="W91" i="2"/>
  <c r="O63" i="20" s="1"/>
  <c r="S10" i="20"/>
  <c r="I96" i="20" s="1"/>
  <c r="L91" i="2"/>
  <c r="O52" i="20" s="1"/>
  <c r="H10" i="20"/>
  <c r="I63" i="20" s="1"/>
  <c r="I10" i="20"/>
  <c r="I66" i="20" s="1"/>
  <c r="P12" i="20"/>
  <c r="K87" i="20" s="1"/>
  <c r="U91" i="2"/>
  <c r="O61" i="20" s="1"/>
  <c r="Q10" i="20"/>
  <c r="I90" i="20" s="1"/>
  <c r="K91" i="2"/>
  <c r="O51" i="20" s="1"/>
  <c r="G10" i="20"/>
  <c r="I60" i="20" s="1"/>
  <c r="Y91" i="2"/>
  <c r="O65" i="20" s="1"/>
  <c r="U10" i="20"/>
  <c r="I102" i="20" s="1"/>
  <c r="D12" i="20"/>
  <c r="K51" i="20" s="1"/>
  <c r="D6" i="20"/>
  <c r="F50" i="20" s="1"/>
  <c r="I12" i="20"/>
  <c r="K66" i="20" s="1"/>
  <c r="P6" i="20"/>
  <c r="F86" i="20" s="1"/>
  <c r="I91" i="2"/>
  <c r="O49" i="20" s="1"/>
  <c r="E10" i="20"/>
  <c r="D4" i="20"/>
  <c r="D50" i="20" s="1"/>
  <c r="P4" i="20"/>
  <c r="D86" i="20" s="1"/>
  <c r="N4" i="20"/>
  <c r="D80" i="20" s="1"/>
  <c r="K4" i="20"/>
  <c r="D71" i="20" s="1"/>
  <c r="V4" i="20"/>
  <c r="D104" i="20" s="1"/>
  <c r="P8" i="20"/>
  <c r="H86" i="20" s="1"/>
  <c r="F7" i="20"/>
  <c r="G56" i="20" s="1"/>
  <c r="N8" i="20"/>
  <c r="H80" i="20" s="1"/>
  <c r="O7" i="20"/>
  <c r="S91" i="2"/>
  <c r="O59" i="20" s="1"/>
  <c r="O10" i="20"/>
  <c r="I84" i="20" s="1"/>
  <c r="N91" i="2"/>
  <c r="O54" i="20" s="1"/>
  <c r="J10" i="20"/>
  <c r="I69" i="20" s="1"/>
  <c r="Q91" i="2"/>
  <c r="O57" i="20" s="1"/>
  <c r="M10" i="20"/>
  <c r="I78" i="20" s="1"/>
  <c r="N12" i="20"/>
  <c r="K81" i="20" s="1"/>
  <c r="J91" i="2"/>
  <c r="O50" i="20" s="1"/>
  <c r="F10" i="20"/>
  <c r="I57" i="20" s="1"/>
  <c r="Z91" i="2"/>
  <c r="O66" i="20" s="1"/>
  <c r="V10" i="20"/>
  <c r="I105" i="20" s="1"/>
  <c r="X91" i="2"/>
  <c r="O64" i="20" s="1"/>
  <c r="T10" i="20"/>
  <c r="I99" i="20" s="1"/>
  <c r="O91" i="2"/>
  <c r="O55" i="20" s="1"/>
  <c r="K10" i="20"/>
  <c r="I72" i="20" s="1"/>
  <c r="N6" i="20"/>
  <c r="F80" i="20" s="1"/>
  <c r="V91" i="2"/>
  <c r="O62" i="20" s="1"/>
  <c r="R10" i="20"/>
  <c r="I93" i="20" s="1"/>
  <c r="G91" i="2"/>
  <c r="C10" i="20"/>
  <c r="I48" i="20" s="1"/>
  <c r="H67" i="2"/>
  <c r="H88" i="2" s="1"/>
  <c r="D38" i="20" s="1"/>
  <c r="M45" i="2"/>
  <c r="M46" i="2" s="1"/>
  <c r="M82" i="2" s="1"/>
  <c r="I35" i="20" s="1"/>
  <c r="M36" i="2"/>
  <c r="M37" i="2" s="1"/>
  <c r="M91" i="2"/>
  <c r="O53" i="20" s="1"/>
  <c r="T88" i="2"/>
  <c r="P38" i="20" s="1"/>
  <c r="R88" i="2"/>
  <c r="N38" i="20" s="1"/>
  <c r="T82" i="2"/>
  <c r="P35" i="20" s="1"/>
  <c r="H82" i="2"/>
  <c r="D35" i="20" s="1"/>
  <c r="R82" i="2"/>
  <c r="N35" i="20" s="1"/>
  <c r="O84" i="2" l="1"/>
  <c r="N55" i="20" s="1"/>
  <c r="P55" i="20" s="1"/>
  <c r="L3" i="20"/>
  <c r="C74" i="20" s="1"/>
  <c r="K3" i="20"/>
  <c r="C71" i="20" s="1"/>
  <c r="V84" i="2"/>
  <c r="N62" i="20" s="1"/>
  <c r="R3" i="20"/>
  <c r="C92" i="20" s="1"/>
  <c r="F3" i="20"/>
  <c r="C56" i="20" s="1"/>
  <c r="F31" i="20"/>
  <c r="F42" i="20" s="1"/>
  <c r="W30" i="2"/>
  <c r="W78" i="2" s="1"/>
  <c r="S31" i="20" s="1"/>
  <c r="S42" i="20" s="1"/>
  <c r="W97" i="2"/>
  <c r="S15" i="20" s="1"/>
  <c r="R30" i="2"/>
  <c r="R78" i="2" s="1"/>
  <c r="N31" i="20" s="1"/>
  <c r="N42" i="20" s="1"/>
  <c r="R97" i="2"/>
  <c r="N15" i="20" s="1"/>
  <c r="Y30" i="2"/>
  <c r="Y78" i="2" s="1"/>
  <c r="U31" i="20" s="1"/>
  <c r="U42" i="20" s="1"/>
  <c r="Y97" i="2"/>
  <c r="U15" i="20" s="1"/>
  <c r="X30" i="2"/>
  <c r="X78" i="2" s="1"/>
  <c r="T31" i="20" s="1"/>
  <c r="T42" i="20" s="1"/>
  <c r="X97" i="2"/>
  <c r="T15" i="20" s="1"/>
  <c r="U30" i="2"/>
  <c r="U78" i="2" s="1"/>
  <c r="Q31" i="20" s="1"/>
  <c r="Q42" i="20" s="1"/>
  <c r="U97" i="2"/>
  <c r="U98" i="2" s="1"/>
  <c r="Q16" i="20" s="1"/>
  <c r="K30" i="2"/>
  <c r="K78" i="2" s="1"/>
  <c r="G3" i="20" s="1"/>
  <c r="C59" i="20" s="1"/>
  <c r="K97" i="2"/>
  <c r="G15" i="20" s="1"/>
  <c r="H30" i="2"/>
  <c r="H78" i="2" s="1"/>
  <c r="D31" i="20" s="1"/>
  <c r="D42" i="20" s="1"/>
  <c r="H97" i="2"/>
  <c r="D15" i="20" s="1"/>
  <c r="T30" i="2"/>
  <c r="T78" i="2" s="1"/>
  <c r="P31" i="20" s="1"/>
  <c r="P42" i="20" s="1"/>
  <c r="T97" i="2"/>
  <c r="P15" i="20" s="1"/>
  <c r="G30" i="2"/>
  <c r="G78" i="2" s="1"/>
  <c r="C31" i="20" s="1"/>
  <c r="C42" i="20" s="1"/>
  <c r="N99" i="2"/>
  <c r="J17" i="20" s="1"/>
  <c r="N98" i="2"/>
  <c r="J16" i="20" s="1"/>
  <c r="C15" i="20"/>
  <c r="L98" i="2"/>
  <c r="H16" i="20" s="1"/>
  <c r="L99" i="2"/>
  <c r="H17" i="20" s="1"/>
  <c r="J98" i="2"/>
  <c r="F16" i="20" s="1"/>
  <c r="Z98" i="2"/>
  <c r="V16" i="20" s="1"/>
  <c r="I99" i="2"/>
  <c r="E20" i="20" s="1"/>
  <c r="E21" i="20" s="1"/>
  <c r="E23" i="20" s="1"/>
  <c r="J31" i="20"/>
  <c r="J42" i="20" s="1"/>
  <c r="J3" i="20"/>
  <c r="C68" i="20" s="1"/>
  <c r="N84" i="2"/>
  <c r="N54" i="20" s="1"/>
  <c r="P54" i="20" s="1"/>
  <c r="I98" i="2"/>
  <c r="E16" i="20" s="1"/>
  <c r="S99" i="2"/>
  <c r="O20" i="20" s="1"/>
  <c r="O21" i="20" s="1"/>
  <c r="O23" i="20" s="1"/>
  <c r="Z99" i="2"/>
  <c r="V17" i="20" s="1"/>
  <c r="S98" i="2"/>
  <c r="O16" i="20" s="1"/>
  <c r="E31" i="20"/>
  <c r="E42" i="20" s="1"/>
  <c r="E3" i="20"/>
  <c r="C53" i="20" s="1"/>
  <c r="Q30" i="2"/>
  <c r="Q78" i="2" s="1"/>
  <c r="M15" i="20"/>
  <c r="H31" i="20"/>
  <c r="H42" i="20" s="1"/>
  <c r="L84" i="2"/>
  <c r="N52" i="20" s="1"/>
  <c r="P52" i="20" s="1"/>
  <c r="H3" i="20"/>
  <c r="C62" i="20" s="1"/>
  <c r="M28" i="2"/>
  <c r="M29" i="2" s="1"/>
  <c r="O31" i="20"/>
  <c r="O42" i="20" s="1"/>
  <c r="O3" i="20"/>
  <c r="C83" i="20" s="1"/>
  <c r="V31" i="20"/>
  <c r="V42" i="20" s="1"/>
  <c r="V3" i="20"/>
  <c r="C104" i="20" s="1"/>
  <c r="J99" i="2"/>
  <c r="F20" i="20" s="1"/>
  <c r="F21" i="20" s="1"/>
  <c r="F23" i="20" s="1"/>
  <c r="P99" i="2"/>
  <c r="L20" i="20" s="1"/>
  <c r="L21" i="20" s="1"/>
  <c r="L23" i="20" s="1"/>
  <c r="P98" i="2"/>
  <c r="L16" i="20" s="1"/>
  <c r="V99" i="2"/>
  <c r="R20" i="20" s="1"/>
  <c r="R21" i="20" s="1"/>
  <c r="R23" i="20" s="1"/>
  <c r="E50" i="20"/>
  <c r="O98" i="2"/>
  <c r="K16" i="20" s="1"/>
  <c r="O99" i="2"/>
  <c r="K17" i="20" s="1"/>
  <c r="V98" i="2"/>
  <c r="R16" i="20" s="1"/>
  <c r="P62" i="20"/>
  <c r="I54" i="20"/>
  <c r="D53" i="20"/>
  <c r="P59" i="20"/>
  <c r="D7" i="20"/>
  <c r="R91" i="2"/>
  <c r="O58" i="20" s="1"/>
  <c r="N10" i="20"/>
  <c r="I81" i="20" s="1"/>
  <c r="I7" i="20"/>
  <c r="G65" i="20" s="1"/>
  <c r="P66" i="20"/>
  <c r="P56" i="20"/>
  <c r="N7" i="20"/>
  <c r="G80" i="20" s="1"/>
  <c r="P7" i="20"/>
  <c r="T91" i="2"/>
  <c r="O60" i="20" s="1"/>
  <c r="P10" i="20"/>
  <c r="I87" i="20" s="1"/>
  <c r="H91" i="2"/>
  <c r="O48" i="20" s="1"/>
  <c r="D10" i="20"/>
  <c r="I51" i="20" s="1"/>
  <c r="O47" i="20"/>
  <c r="P50" i="20"/>
  <c r="P49" i="20"/>
  <c r="M38" i="2"/>
  <c r="M80" i="2" s="1"/>
  <c r="I33" i="20" s="1"/>
  <c r="R99" i="2" l="1"/>
  <c r="N17" i="20" s="1"/>
  <c r="U84" i="2"/>
  <c r="N61" i="20" s="1"/>
  <c r="P61" i="20" s="1"/>
  <c r="U3" i="20"/>
  <c r="C101" i="20" s="1"/>
  <c r="D3" i="20"/>
  <c r="C50" i="20" s="1"/>
  <c r="Y84" i="2"/>
  <c r="N65" i="20" s="1"/>
  <c r="P65" i="20" s="1"/>
  <c r="Q3" i="20"/>
  <c r="C89" i="20" s="1"/>
  <c r="W84" i="2"/>
  <c r="N63" i="20" s="1"/>
  <c r="P63" i="20" s="1"/>
  <c r="R84" i="2"/>
  <c r="N58" i="20" s="1"/>
  <c r="P58" i="20" s="1"/>
  <c r="N3" i="20"/>
  <c r="C80" i="20" s="1"/>
  <c r="T84" i="2"/>
  <c r="N60" i="20" s="1"/>
  <c r="P60" i="20" s="1"/>
  <c r="T3" i="20"/>
  <c r="C98" i="20" s="1"/>
  <c r="H84" i="2"/>
  <c r="N48" i="20" s="1"/>
  <c r="P48" i="20" s="1"/>
  <c r="G31" i="20"/>
  <c r="G42" i="20" s="1"/>
  <c r="M30" i="2"/>
  <c r="M78" i="2" s="1"/>
  <c r="I3" i="20" s="1"/>
  <c r="C65" i="20" s="1"/>
  <c r="M97" i="2"/>
  <c r="I15" i="20" s="1"/>
  <c r="S3" i="20"/>
  <c r="C95" i="20" s="1"/>
  <c r="X84" i="2"/>
  <c r="N64" i="20" s="1"/>
  <c r="P64" i="20" s="1"/>
  <c r="C3" i="20"/>
  <c r="C47" i="20" s="1"/>
  <c r="P3" i="20"/>
  <c r="C86" i="20" s="1"/>
  <c r="K84" i="2"/>
  <c r="N51" i="20" s="1"/>
  <c r="P51" i="20" s="1"/>
  <c r="G84" i="2"/>
  <c r="N47" i="20" s="1"/>
  <c r="P47" i="20" s="1"/>
  <c r="J20" i="20"/>
  <c r="J21" i="20" s="1"/>
  <c r="J23" i="20" s="1"/>
  <c r="R98" i="2"/>
  <c r="N16" i="20" s="1"/>
  <c r="T99" i="2"/>
  <c r="P17" i="20" s="1"/>
  <c r="Y98" i="2"/>
  <c r="U16" i="20" s="1"/>
  <c r="Y99" i="2"/>
  <c r="U17" i="20" s="1"/>
  <c r="X98" i="2"/>
  <c r="T16" i="20" s="1"/>
  <c r="X99" i="2"/>
  <c r="T20" i="20" s="1"/>
  <c r="T21" i="20" s="1"/>
  <c r="T23" i="20" s="1"/>
  <c r="T98" i="2"/>
  <c r="P16" i="20" s="1"/>
  <c r="G98" i="2"/>
  <c r="C16" i="20" s="1"/>
  <c r="G99" i="2"/>
  <c r="C20" i="20" s="1"/>
  <c r="C21" i="20" s="1"/>
  <c r="C23" i="20" s="1"/>
  <c r="H20" i="20"/>
  <c r="H21" i="20" s="1"/>
  <c r="H23" i="20" s="1"/>
  <c r="L17" i="20"/>
  <c r="H99" i="2"/>
  <c r="D20" i="20" s="1"/>
  <c r="D21" i="20" s="1"/>
  <c r="D23" i="20" s="1"/>
  <c r="E17" i="20"/>
  <c r="Q98" i="2"/>
  <c r="M16" i="20" s="1"/>
  <c r="V20" i="20"/>
  <c r="V21" i="20" s="1"/>
  <c r="V23" i="20" s="1"/>
  <c r="Q99" i="2"/>
  <c r="H98" i="2"/>
  <c r="D16" i="20" s="1"/>
  <c r="O17" i="20"/>
  <c r="K98" i="2"/>
  <c r="G16" i="20" s="1"/>
  <c r="R17" i="20"/>
  <c r="W99" i="2"/>
  <c r="S17" i="20" s="1"/>
  <c r="Q15" i="20"/>
  <c r="U99" i="2"/>
  <c r="K99" i="2"/>
  <c r="G20" i="20" s="1"/>
  <c r="G21" i="20" s="1"/>
  <c r="G23" i="20" s="1"/>
  <c r="W98" i="2"/>
  <c r="S16" i="20" s="1"/>
  <c r="M31" i="20"/>
  <c r="M42" i="20" s="1"/>
  <c r="Q84" i="2"/>
  <c r="N57" i="20" s="1"/>
  <c r="P57" i="20" s="1"/>
  <c r="M3" i="20"/>
  <c r="C77" i="20" s="1"/>
  <c r="F17" i="20"/>
  <c r="K20" i="20"/>
  <c r="K21" i="20" s="1"/>
  <c r="K23" i="20" s="1"/>
  <c r="N20" i="20"/>
  <c r="N21" i="20" s="1"/>
  <c r="N23" i="20" s="1"/>
  <c r="G50" i="20"/>
  <c r="G86" i="20"/>
  <c r="G83" i="20"/>
  <c r="I5" i="20"/>
  <c r="I31" i="20" l="1"/>
  <c r="I42" i="20" s="1"/>
  <c r="M84" i="2"/>
  <c r="N53" i="20" s="1"/>
  <c r="P53" i="20" s="1"/>
  <c r="P20" i="20"/>
  <c r="P21" i="20" s="1"/>
  <c r="P23" i="20" s="1"/>
  <c r="T17" i="20"/>
  <c r="U20" i="20"/>
  <c r="U21" i="20" s="1"/>
  <c r="U23" i="20" s="1"/>
  <c r="S20" i="20"/>
  <c r="S21" i="20" s="1"/>
  <c r="S23" i="20" s="1"/>
  <c r="M99" i="2"/>
  <c r="I17" i="20" s="1"/>
  <c r="D17" i="20"/>
  <c r="C17" i="20"/>
  <c r="G17" i="20"/>
  <c r="M20" i="20"/>
  <c r="M21" i="20" s="1"/>
  <c r="M23" i="20" s="1"/>
  <c r="M17" i="20"/>
  <c r="Q17" i="20"/>
  <c r="Q20" i="20"/>
  <c r="Q21" i="20" s="1"/>
  <c r="Q23" i="20" s="1"/>
  <c r="M98" i="2"/>
  <c r="I16" i="20" s="1"/>
  <c r="E65" i="20"/>
  <c r="I20" i="20" l="1"/>
  <c r="I21" i="20" s="1"/>
  <c r="I23" i="20" s="1"/>
  <c r="C27" i="20" s="1"/>
  <c r="A27" i="13" l="1"/>
  <c r="C27" i="13"/>
  <c r="A24" i="13"/>
  <c r="D26" i="13"/>
  <c r="A25" i="13"/>
  <c r="C28" i="20"/>
  <c r="C25" i="13"/>
  <c r="B27" i="13"/>
  <c r="D25" i="13"/>
  <c r="C29" i="20"/>
  <c r="C26" i="13"/>
  <c r="A26" i="13"/>
  <c r="C110" i="20" l="1"/>
  <c r="E122" i="20" s="1"/>
  <c r="C4" i="22"/>
  <c r="B26" i="13" s="1"/>
  <c r="B25" i="13"/>
  <c r="C3" i="22"/>
  <c r="C8" i="22" s="1"/>
  <c r="GY80" i="16"/>
  <c r="GY95" i="16"/>
  <c r="GY58" i="16"/>
  <c r="GY15" i="16"/>
  <c r="GY44" i="16"/>
  <c r="GZ5" i="16"/>
  <c r="C12" i="22" s="1"/>
  <c r="GY32" i="16"/>
  <c r="GY111" i="16"/>
  <c r="GY106" i="16"/>
  <c r="GY52" i="16"/>
  <c r="GY93" i="16"/>
  <c r="GY24" i="16"/>
  <c r="GY101" i="16"/>
  <c r="GY10" i="16"/>
  <c r="GY98" i="16"/>
  <c r="GY84" i="16"/>
  <c r="GY14" i="16"/>
  <c r="GY62" i="16"/>
  <c r="GY43" i="16"/>
  <c r="GY124" i="16"/>
  <c r="C117" i="20"/>
  <c r="GY13" i="16"/>
  <c r="GY117" i="16"/>
  <c r="GY26" i="16"/>
  <c r="GY66" i="16"/>
  <c r="GY87" i="16"/>
  <c r="GY12" i="16"/>
  <c r="GY100" i="16"/>
  <c r="GY22" i="16"/>
  <c r="GY94" i="16"/>
  <c r="GY99" i="16"/>
  <c r="GY56" i="16"/>
  <c r="GY37" i="16"/>
  <c r="GY31" i="16"/>
  <c r="C115" i="20"/>
  <c r="GY34" i="16"/>
  <c r="GY74" i="16"/>
  <c r="GY122" i="16"/>
  <c r="GY20" i="16"/>
  <c r="GY68" i="16"/>
  <c r="D119" i="20"/>
  <c r="GY30" i="16"/>
  <c r="GY102" i="16"/>
  <c r="GY107" i="16"/>
  <c r="GY39" i="16"/>
  <c r="GY16" i="16"/>
  <c r="GY64" i="16"/>
  <c r="GY61" i="16"/>
  <c r="GY71" i="16"/>
  <c r="C116" i="20"/>
  <c r="GY42" i="16"/>
  <c r="GY90" i="16"/>
  <c r="GY7" i="16"/>
  <c r="D121" i="20"/>
  <c r="GY36" i="16"/>
  <c r="GY76" i="16"/>
  <c r="D120" i="20"/>
  <c r="GY54" i="16"/>
  <c r="GY11" i="16"/>
  <c r="GY120" i="16"/>
  <c r="GY49" i="16"/>
  <c r="GY46" i="16"/>
  <c r="GY86" i="16"/>
  <c r="GY5" i="16"/>
  <c r="GY67" i="16"/>
  <c r="GY88" i="16"/>
  <c r="GY85" i="16"/>
  <c r="GY119" i="16"/>
  <c r="GY121" i="16"/>
  <c r="GY8" i="16"/>
  <c r="GY48" i="16"/>
  <c r="GY112" i="16"/>
  <c r="GY77" i="16"/>
  <c r="GY55" i="16"/>
  <c r="E123" i="20"/>
  <c r="GY18" i="16"/>
  <c r="GY50" i="16"/>
  <c r="GY82" i="16"/>
  <c r="GY114" i="16"/>
  <c r="GY47" i="16"/>
  <c r="C113" i="20"/>
  <c r="GY28" i="16"/>
  <c r="GY60" i="16"/>
  <c r="GY92" i="16"/>
  <c r="GY6" i="16"/>
  <c r="GY38" i="16"/>
  <c r="GY70" i="16"/>
  <c r="GY118" i="16"/>
  <c r="GY51" i="16"/>
  <c r="GY40" i="16"/>
  <c r="GY53" i="16"/>
  <c r="GY63" i="16"/>
  <c r="GY78" i="16"/>
  <c r="GY110" i="16"/>
  <c r="GY19" i="16"/>
  <c r="GY83" i="16"/>
  <c r="GY72" i="16"/>
  <c r="GY29" i="16"/>
  <c r="GY23" i="16"/>
  <c r="GY108" i="16"/>
  <c r="GY65" i="16"/>
  <c r="GY35" i="16"/>
  <c r="GY75" i="16"/>
  <c r="GY115" i="16"/>
  <c r="GY104" i="16"/>
  <c r="GY45" i="16"/>
  <c r="GY109" i="16"/>
  <c r="GY103" i="16"/>
  <c r="GY81" i="16"/>
  <c r="GY9" i="16"/>
  <c r="GY27" i="16"/>
  <c r="GY59" i="16"/>
  <c r="GY91" i="16"/>
  <c r="GY123" i="16"/>
  <c r="GY96" i="16"/>
  <c r="GY21" i="16"/>
  <c r="GY69" i="16"/>
  <c r="GY125" i="16"/>
  <c r="GY79" i="16"/>
  <c r="GY17" i="16"/>
  <c r="GY41" i="16"/>
  <c r="GY97" i="16"/>
  <c r="GY113" i="16"/>
  <c r="GY25" i="16"/>
  <c r="GY116" i="16"/>
  <c r="GY89" i="16"/>
  <c r="GY105" i="16"/>
  <c r="GY33" i="16"/>
  <c r="GY57" i="16"/>
  <c r="GY73" i="16"/>
  <c r="C118" i="20" l="1"/>
  <c r="C114" i="20"/>
  <c r="C7" i="22"/>
  <c r="C13" i="22"/>
  <c r="C14" i="22" s="1"/>
  <c r="C6" i="22"/>
  <c r="C5" i="22"/>
</calcChain>
</file>

<file path=xl/sharedStrings.xml><?xml version="1.0" encoding="utf-8"?>
<sst xmlns="http://schemas.openxmlformats.org/spreadsheetml/2006/main" count="662" uniqueCount="233">
  <si>
    <t>Wärmegutschrift</t>
  </si>
  <si>
    <t>Wirkungsgrad</t>
  </si>
  <si>
    <t>Leistung</t>
  </si>
  <si>
    <t>Modulkosten</t>
  </si>
  <si>
    <t>Einbindung</t>
  </si>
  <si>
    <t>EStG Erleichterung</t>
  </si>
  <si>
    <t>EUR</t>
  </si>
  <si>
    <t xml:space="preserve">Leistung </t>
  </si>
  <si>
    <t>ct/kWh</t>
  </si>
  <si>
    <t>h/a</t>
  </si>
  <si>
    <t>EEG-Umlage</t>
  </si>
  <si>
    <t>Erlöse</t>
  </si>
  <si>
    <t>Deckungsbeitrag</t>
  </si>
  <si>
    <t>ct/kWhel</t>
  </si>
  <si>
    <t>vermiedene Netznutzungsentgelte</t>
  </si>
  <si>
    <t>EUR/a</t>
  </si>
  <si>
    <t>Betriebsstunden</t>
  </si>
  <si>
    <t>Investitionskosten</t>
  </si>
  <si>
    <t>Strompreis</t>
  </si>
  <si>
    <t>Gesamtwirkungsgrad</t>
  </si>
  <si>
    <t>ct/kWhth</t>
  </si>
  <si>
    <t>El. Wirkungsgrad</t>
  </si>
  <si>
    <t>kW</t>
  </si>
  <si>
    <t>EEG Abgabe</t>
  </si>
  <si>
    <t>Kosten</t>
  </si>
  <si>
    <t>kWhel/a</t>
  </si>
  <si>
    <t>Wirtschaftlichkeit</t>
  </si>
  <si>
    <t>Return on Investment</t>
  </si>
  <si>
    <t>a</t>
  </si>
  <si>
    <t>Thermischer Wirkungsgrad</t>
  </si>
  <si>
    <t>spez. Wartungskosten</t>
  </si>
  <si>
    <t>spez. Wärmegutschrift</t>
  </si>
  <si>
    <t>spez. EEG Abgabe</t>
  </si>
  <si>
    <t>Betrieb</t>
  </si>
  <si>
    <t>spezifischer Deckungsbeitrag</t>
  </si>
  <si>
    <t>Betrachtungszeitraum</t>
  </si>
  <si>
    <t>KWK-Zulage im Betrachtungszeitrum</t>
  </si>
  <si>
    <t>spez. verm. Netzentgelte</t>
  </si>
  <si>
    <t>Wartungskosten</t>
  </si>
  <si>
    <t>kWhth/a</t>
  </si>
  <si>
    <t xml:space="preserve">KWK-Impulsprogramm </t>
  </si>
  <si>
    <t>Brennstoffeinsparung für Wärmeerzeugung</t>
  </si>
  <si>
    <r>
      <t>kW</t>
    </r>
    <r>
      <rPr>
        <sz val="11"/>
        <color theme="1"/>
        <rFont val="Calibri"/>
        <family val="2"/>
        <scheme val="minor"/>
      </rPr>
      <t>el</t>
    </r>
  </si>
  <si>
    <t>Jahre</t>
  </si>
  <si>
    <t>ct/kWh Hs</t>
  </si>
  <si>
    <t>spez. Brennstoffkosten Hi</t>
  </si>
  <si>
    <t>Kosten für den Brennstoff Gas Hs</t>
  </si>
  <si>
    <t>Brennstoffeinsatz Hi</t>
  </si>
  <si>
    <r>
      <t>Kosten für den Brennstoff Gas H</t>
    </r>
    <r>
      <rPr>
        <vertAlign val="subscript"/>
        <sz val="11"/>
        <color theme="1"/>
        <rFont val="Calibri"/>
        <family val="2"/>
        <scheme val="minor"/>
      </rPr>
      <t>i</t>
    </r>
  </si>
  <si>
    <t>Kosten für den Brennstoff Gas Hi</t>
  </si>
  <si>
    <t>Wärmeeffizienzbonus +25%</t>
  </si>
  <si>
    <t>Summe BAFA Bonus</t>
  </si>
  <si>
    <t>Abschreibung</t>
  </si>
  <si>
    <t>Summe Kapitaldienst</t>
  </si>
  <si>
    <t>Spez. Kapitaldienst</t>
  </si>
  <si>
    <t>Energiebedarf des Gebäudes</t>
  </si>
  <si>
    <t>Wozu benötigen Sie die Wärme?</t>
  </si>
  <si>
    <t>Nur zur Beheizung des Gebäudes</t>
  </si>
  <si>
    <t>Zur Beheizung des Gebäudes und zur Warmwasserbereitung</t>
  </si>
  <si>
    <t>m²</t>
  </si>
  <si>
    <t>kWh/a</t>
  </si>
  <si>
    <t>Ermittlung des jährlichen Wärmebedarfs</t>
  </si>
  <si>
    <t>für Beheizung</t>
  </si>
  <si>
    <t>für Warmwasserbereitung</t>
  </si>
  <si>
    <t>Januar</t>
  </si>
  <si>
    <t>Februar</t>
  </si>
  <si>
    <t>März</t>
  </si>
  <si>
    <t>April</t>
  </si>
  <si>
    <t>Mai</t>
  </si>
  <si>
    <t>Juni</t>
  </si>
  <si>
    <t>Juli</t>
  </si>
  <si>
    <t>August</t>
  </si>
  <si>
    <t>September</t>
  </si>
  <si>
    <t>Oktober</t>
  </si>
  <si>
    <t>November</t>
  </si>
  <si>
    <t>Dezember</t>
  </si>
  <si>
    <t>Heizlast des Gebäudes</t>
  </si>
  <si>
    <t>kWh</t>
  </si>
  <si>
    <t>Wärmebedarf sortiert</t>
  </si>
  <si>
    <t>therm Leistung BHKW</t>
  </si>
  <si>
    <t>thermische Arbeit BHKW</t>
  </si>
  <si>
    <t>geordnete Jahresdauerlinie vom gesamten Wärmebedarf</t>
  </si>
  <si>
    <t>Faktor</t>
  </si>
  <si>
    <t>Brennstoffkosten Gas</t>
  </si>
  <si>
    <t>Strombezugskosten</t>
  </si>
  <si>
    <t>unterster Modulationsbereich des BHKW in %</t>
  </si>
  <si>
    <t>Elektrische Leistung der KWK-Anlage</t>
  </si>
  <si>
    <t>elektr. Jahresarbeit</t>
  </si>
  <si>
    <t>Elektrischer Wirkungsgrad ermittelt aus den BHKW-Kenndaten 2014</t>
  </si>
  <si>
    <t>Thermischer Wirkungsgrad = Gesamtwirkungsgrad - Elektrischer Wirkungsgrad</t>
  </si>
  <si>
    <t>kWth</t>
  </si>
  <si>
    <t>Betriebsstunden berechnet aus Jahresdauerlinie</t>
  </si>
  <si>
    <t>elektr.Jahresarbeit = Betriebsstunden * elektrische Leistung</t>
  </si>
  <si>
    <t>Wartungskosten pro erzeugter elektrischer kWh = spez. Wartungskosten * elektr. Jahresarbeit</t>
  </si>
  <si>
    <t>EEG-Umlage 2015</t>
  </si>
  <si>
    <t>Zuschuss für Mini-KWK bis 20 kWel nach BAFA</t>
  </si>
  <si>
    <t>Der Stromeffizienzbonus von zusätzlichen 60 % wird für Anlagen mit einem besonders hohen elektrischen Wirkungsgrad gewährt</t>
  </si>
  <si>
    <t>Summe der Zuschüsse vom BAFA</t>
  </si>
  <si>
    <t>Betriebsdaten</t>
  </si>
  <si>
    <t>Gewinne</t>
  </si>
  <si>
    <t>KWK-Zulage pro Jahr über den Betrachtungszeitraum</t>
  </si>
  <si>
    <t>KWK-Zulage</t>
  </si>
  <si>
    <t>Energiesteuergesetz</t>
  </si>
  <si>
    <t>spezifische KWK-Zulage</t>
  </si>
  <si>
    <t>spez. Energiesteuererleichterung</t>
  </si>
  <si>
    <t>Netzeinspeisevergütung (üblicher Preis)</t>
  </si>
  <si>
    <t>Stromerlös durch Netzeinspeisung</t>
  </si>
  <si>
    <t>kWhel</t>
  </si>
  <si>
    <t>Netzeinspeisung Anteil</t>
  </si>
  <si>
    <t>Netzeinspeisung Strom</t>
  </si>
  <si>
    <t>Erlös durch Netzeinspeisung</t>
  </si>
  <si>
    <t>spezifischer Stromerlös durch Netzeinspeisung</t>
  </si>
  <si>
    <t>Stromerlös durch Eigenverbrauch</t>
  </si>
  <si>
    <t>Eigenverbrauch Strom</t>
  </si>
  <si>
    <t>Ersparnisse durch Eigenverbrauch</t>
  </si>
  <si>
    <t>spezifischer Stromerlös durch Eigenverbrauch</t>
  </si>
  <si>
    <t>Brennstoffkosten</t>
  </si>
  <si>
    <t>Übersicht Gewinne</t>
  </si>
  <si>
    <t>Gesamte Gewinne</t>
  </si>
  <si>
    <t>Übersicht Kosten</t>
  </si>
  <si>
    <t>Gesamte Kosten</t>
  </si>
  <si>
    <t>Investitionskosten mit KWK-Impulsprogramm</t>
  </si>
  <si>
    <t>Fixkosten</t>
  </si>
  <si>
    <t>Kapitaldienst</t>
  </si>
  <si>
    <t>Gesamtinvestitionen mit KWK-Impulsprogramm</t>
  </si>
  <si>
    <t>spezifische Investitionskosten</t>
  </si>
  <si>
    <t>Stromeffizienzbonus bei &gt; 31% (&gt;33%, &gt;35%) Wirkungsgrad</t>
  </si>
  <si>
    <t>Summe</t>
  </si>
  <si>
    <t>verm. Netznutzungsentgelte</t>
  </si>
  <si>
    <t>KWK Index für Netzeinspeisevergütung</t>
  </si>
  <si>
    <t>Energiesteuererleichterung</t>
  </si>
  <si>
    <t>vermiedene Netzentglete</t>
  </si>
  <si>
    <t>spez. Deckungsbeitrag</t>
  </si>
  <si>
    <t>ROI</t>
  </si>
  <si>
    <t>ja</t>
  </si>
  <si>
    <t>nein</t>
  </si>
  <si>
    <t>Zinsen/Finanzierung</t>
  </si>
  <si>
    <t xml:space="preserve">https://www.eex.com/de/marktdaten/strom/spotmarkt/kwk-index#!/2015/04/01 </t>
  </si>
  <si>
    <t xml:space="preserve">"Laufzeit" des BHKW </t>
  </si>
  <si>
    <t>gesamte KWK-Zulage auf den erzeugten KWK-Strom im gesamten Betrachtungszeitraum</t>
  </si>
  <si>
    <t>spezifische KWK-Zulage auf die erzeugte kWh</t>
  </si>
  <si>
    <t>laut Energiesteuergesetz § 53a</t>
  </si>
  <si>
    <t>spezifische Energiesteuererleichterung auf die erzeugte kWh</t>
  </si>
  <si>
    <t>Netzeinspeisevergütung aus dem aktuellen Quartal muss in Eingabemaske eingegeben werden</t>
  </si>
  <si>
    <t>spezifischer Stromerlös des eingespeisten Stroms bezogen auf die erzeugte kWh</t>
  </si>
  <si>
    <t>Strompreis muss in Eingabemaske eingegeben werden</t>
  </si>
  <si>
    <t>spezifische Einsparung durch Eigennutzung des erzeugten Stroms, anstatt Strom einkaufen zu müssen</t>
  </si>
  <si>
    <t>vermiedene Netznutzungsentgelte mit 1 ct / kWh angenommen - abgeschätzter Mittelwert</t>
  </si>
  <si>
    <t>spezifisch vermiedene Netzentgelte bezogen auf die erzeugte kWh</t>
  </si>
  <si>
    <t>ermittelt aus BHKW-Kenndaten</t>
  </si>
  <si>
    <t>Investitionskosten ohne Berücksichtigung des KWK-Impulsprogramms</t>
  </si>
  <si>
    <t>Investitionskosten mit Berücksichtigung des KWK-Impulsprogramms</t>
  </si>
  <si>
    <t>Übersicht</t>
  </si>
  <si>
    <t>Wirtschaft-</t>
  </si>
  <si>
    <t>lichkeit</t>
  </si>
  <si>
    <t>Projektdaten</t>
  </si>
  <si>
    <t>Projektbezeichnung</t>
  </si>
  <si>
    <t>Projektadresse</t>
  </si>
  <si>
    <t>Bearbeitungsdatum</t>
  </si>
  <si>
    <t>Bearbeiter/in</t>
  </si>
  <si>
    <t>Thermische Leistung</t>
  </si>
  <si>
    <t>Modulationsbereich</t>
  </si>
  <si>
    <t>unterste thermische Leistungsgrenze</t>
  </si>
  <si>
    <t xml:space="preserve">elektrische Leistung </t>
  </si>
  <si>
    <t>thermische Leistung des BHKW</t>
  </si>
  <si>
    <t>elektrische Leistung</t>
  </si>
  <si>
    <t>elektrischer Wirkungsgrad</t>
  </si>
  <si>
    <t>thermischer Wirkungsgrad</t>
  </si>
  <si>
    <t>untere Leistungsgrenze</t>
  </si>
  <si>
    <t>Berechnung der Betriebsstunden des BHKW</t>
  </si>
  <si>
    <t>Volllaststunden BHKW</t>
  </si>
  <si>
    <t>thermische Leistung</t>
  </si>
  <si>
    <t xml:space="preserve">Elektrische Leistung </t>
  </si>
  <si>
    <t>absoluter Deckungsbeitrag</t>
  </si>
  <si>
    <t>beheizte Fläche</t>
  </si>
  <si>
    <t>elektrische Leistung BHKW</t>
  </si>
  <si>
    <t>Tatsächliche Werte weichen je nach Standort, Dichtheit, Bauform, Raumtemperaturen und Dämmstandard von den Tabellenwerten ab.</t>
  </si>
  <si>
    <t>vermiedene Netzentgelte</t>
  </si>
  <si>
    <t>Gebäudeart</t>
  </si>
  <si>
    <t xml:space="preserve">Bis 1958 </t>
  </si>
  <si>
    <t>1959-68</t>
  </si>
  <si>
    <t>1969-73</t>
  </si>
  <si>
    <t>1974-77</t>
  </si>
  <si>
    <t>1978-83</t>
  </si>
  <si>
    <t>1984-94</t>
  </si>
  <si>
    <t>Ab 1995</t>
  </si>
  <si>
    <t>Reihenendhaus</t>
  </si>
  <si>
    <t>Reihenmittelhaus</t>
  </si>
  <si>
    <t>freistehendes Einfamilienhaus</t>
  </si>
  <si>
    <t>Richtwerte für den spezifischen Wärmebedarf in W/m²</t>
  </si>
  <si>
    <t>MFH &lt;8 Wohneinheiten</t>
  </si>
  <si>
    <t>bitte füllen Sie die grau hinterlegten Felder aus!</t>
  </si>
  <si>
    <t>Haushaltsgröße</t>
  </si>
  <si>
    <t>Ø</t>
  </si>
  <si>
    <t>mit</t>
  </si>
  <si>
    <t>ohne</t>
  </si>
  <si>
    <t>1-Personen-Haushalt</t>
  </si>
  <si>
    <t>2-Personen-Haushalt</t>
  </si>
  <si>
    <t>3-Personen-Haushalt</t>
  </si>
  <si>
    <t>4-Personen-Haushalt</t>
  </si>
  <si>
    <t>5-Personen-Haushalt</t>
  </si>
  <si>
    <t>6-Personen-Haushalt</t>
  </si>
  <si>
    <t>Faktoren abgeleitet von den Durchschnittstemperaturen in Deutschland von 2000-2014</t>
  </si>
  <si>
    <t>Tabelle 2: Quelle: Energieagentur NRW (Erhebung: „Wo bleibt der Strom?“)</t>
  </si>
  <si>
    <t>MFH &gt;8 Wohneinheiten</t>
  </si>
  <si>
    <t>W/m²</t>
  </si>
  <si>
    <t>Übersicht ausgewähltes BHKW</t>
  </si>
  <si>
    <t>Richtwerte für Stromverbrauch nach Haushaltsgröße in kWh pro Jahr (mit und ohne elektrische Warmwasserbereitung)</t>
  </si>
  <si>
    <t>Mini KWK Impulsprogramm - BAFA Zuschuss ab 2015</t>
  </si>
  <si>
    <t>VBh</t>
  </si>
  <si>
    <t>KWK-Zulage auf erzeugten KWK-Strom nach KWK-Gesetz 2016</t>
  </si>
  <si>
    <t>Anteil Strom-Eigenverbrauch</t>
  </si>
  <si>
    <t>EUR/60000h</t>
  </si>
  <si>
    <t>KWK-Zuschlag für Eigenverbrauch</t>
  </si>
  <si>
    <t>KWK-Zuschlag für Netzeinspeisung</t>
  </si>
  <si>
    <t>KWK-Zulage insgesamt für 60.000 VBh</t>
  </si>
  <si>
    <t>Entgelt für vermiedene Netznutzung</t>
  </si>
  <si>
    <t>BHKW-TOOL auf Grundlage des KWK-Gesetzes 2016 und der BHKW-Kenndaten 2014/2015</t>
  </si>
  <si>
    <t>Amortisationszeit</t>
  </si>
  <si>
    <r>
      <t>ct/kWh</t>
    </r>
    <r>
      <rPr>
        <vertAlign val="subscript"/>
        <sz val="11"/>
        <color theme="1"/>
        <rFont val="Calibri"/>
        <family val="2"/>
        <scheme val="minor"/>
      </rPr>
      <t>el</t>
    </r>
  </si>
  <si>
    <r>
      <t>EUR/MWh</t>
    </r>
    <r>
      <rPr>
        <vertAlign val="subscript"/>
        <sz val="11"/>
        <color theme="1"/>
        <rFont val="Calibri"/>
        <family val="2"/>
        <scheme val="minor"/>
      </rPr>
      <t>el</t>
    </r>
  </si>
  <si>
    <r>
      <t>ct/kWh</t>
    </r>
    <r>
      <rPr>
        <vertAlign val="subscript"/>
        <sz val="11"/>
        <color theme="1"/>
        <rFont val="Calibri"/>
        <family val="2"/>
        <scheme val="minor"/>
      </rPr>
      <t>Hs</t>
    </r>
  </si>
  <si>
    <r>
      <t>kW</t>
    </r>
    <r>
      <rPr>
        <vertAlign val="subscript"/>
        <sz val="11"/>
        <color theme="1"/>
        <rFont val="Calibri"/>
        <family val="2"/>
        <scheme val="minor"/>
      </rPr>
      <t>th</t>
    </r>
  </si>
  <si>
    <r>
      <t>kW</t>
    </r>
    <r>
      <rPr>
        <vertAlign val="subscript"/>
        <sz val="11"/>
        <color theme="1"/>
        <rFont val="Calibri"/>
        <family val="2"/>
        <scheme val="minor"/>
      </rPr>
      <t>el</t>
    </r>
  </si>
  <si>
    <t>Wärmeerzeugung BHKW</t>
  </si>
  <si>
    <t>Eingabewerte</t>
  </si>
  <si>
    <t>Zinssatz</t>
  </si>
  <si>
    <t>spezifische Heizlast des Gebäudes
(für Richtwerte siehe Tabelle 1 unten)</t>
  </si>
  <si>
    <t>Jahresenergiebedarf für elektrischen Strom
(für Richtwerte siehe Tabelle 2 unten)</t>
  </si>
  <si>
    <t>Gesamtwirkunsgrade ermittelt aus den BHKW-Kenndaten 2014</t>
  </si>
  <si>
    <t>Brennstoffeinsatz bezogen auf Heizwert = elektrische Jahresarbeit / elektrischen Wirkungsgrad</t>
  </si>
  <si>
    <t>Der Wärmeeffizienzbonus von zusätzlichen 25 % zur Basisförderung wird für Mini-KWK-Anlagen gewährt, die mit einem (zweiten) Abgaswärmetauscher zur Brennwertnutzung ausgestattet und an ein hydraulisch abgeglichenes Heizungssystem angeschlossen sind</t>
  </si>
  <si>
    <t>spez. Wartungskosten ermittelt aus BHKW-Kenndaten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</si>
</sst>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
    <numFmt numFmtId="165" formatCode="0.0"/>
    <numFmt numFmtId="166" formatCode="0.0000000"/>
    <numFmt numFmtId="167" formatCode="#,##0_ ;\-#,##0\ "/>
    <numFmt numFmtId="168" formatCode="0.0%"/>
    <numFmt numFmtId="169"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vertAlign val="subscript"/>
      <sz val="11"/>
      <color theme="1"/>
      <name val="Calibri"/>
      <family val="2"/>
      <scheme val="minor"/>
    </font>
    <font>
      <sz val="20"/>
      <color theme="1"/>
      <name val="Calibri"/>
      <family val="2"/>
      <scheme val="minor"/>
    </font>
    <font>
      <sz val="18"/>
      <color theme="1"/>
      <name val="Calibri"/>
      <family val="2"/>
      <scheme val="minor"/>
    </font>
    <font>
      <b/>
      <sz val="1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u val="double"/>
      <sz val="11"/>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448">
    <xf numFmtId="0" fontId="0" fillId="0" borderId="0" xfId="0"/>
    <xf numFmtId="0" fontId="0" fillId="0" borderId="0" xfId="0" applyFont="1" applyBorder="1" applyAlignment="1">
      <alignment horizontal="center" vertical="center"/>
    </xf>
    <xf numFmtId="3" fontId="0" fillId="0" borderId="0" xfId="0" applyNumberFormat="1" applyFont="1" applyBorder="1" applyAlignment="1">
      <alignment horizontal="center" vertical="center"/>
    </xf>
    <xf numFmtId="3" fontId="0" fillId="0" borderId="2" xfId="0" applyNumberFormat="1" applyFont="1" applyBorder="1" applyAlignment="1">
      <alignment horizontal="center" vertical="center"/>
    </xf>
    <xf numFmtId="0" fontId="2" fillId="4" borderId="6" xfId="0" applyFont="1" applyFill="1" applyBorder="1" applyAlignment="1">
      <alignment vertical="center"/>
    </xf>
    <xf numFmtId="2" fontId="2" fillId="4" borderId="6" xfId="0" applyNumberFormat="1" applyFont="1" applyFill="1" applyBorder="1" applyAlignment="1">
      <alignment vertical="center"/>
    </xf>
    <xf numFmtId="2" fontId="0" fillId="0" borderId="0" xfId="0" applyNumberFormat="1" applyFont="1" applyBorder="1" applyAlignment="1">
      <alignment horizontal="center" vertical="center"/>
    </xf>
    <xf numFmtId="9" fontId="2" fillId="4" borderId="6" xfId="0" applyNumberFormat="1" applyFont="1" applyFill="1" applyBorder="1" applyAlignment="1">
      <alignment vertical="center"/>
    </xf>
    <xf numFmtId="9" fontId="2" fillId="4" borderId="7" xfId="0" applyNumberFormat="1" applyFont="1" applyFill="1" applyBorder="1" applyAlignment="1">
      <alignment horizontal="left" vertical="center"/>
    </xf>
    <xf numFmtId="0" fontId="0" fillId="0" borderId="0" xfId="0" applyBorder="1" applyAlignment="1">
      <alignment vertical="center"/>
    </xf>
    <xf numFmtId="166" fontId="0" fillId="0" borderId="0" xfId="0" applyNumberFormat="1" applyBorder="1" applyAlignment="1">
      <alignment vertical="center"/>
    </xf>
    <xf numFmtId="0" fontId="0" fillId="0" borderId="13" xfId="0" applyFont="1" applyBorder="1" applyAlignment="1">
      <alignment vertical="center"/>
    </xf>
    <xf numFmtId="0" fontId="0" fillId="0" borderId="13" xfId="0" applyFont="1" applyFill="1" applyBorder="1" applyAlignment="1">
      <alignment horizontal="right" vertical="center"/>
    </xf>
    <xf numFmtId="164" fontId="0" fillId="0" borderId="13" xfId="0" applyNumberFormat="1" applyFont="1" applyFill="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center" vertical="center"/>
    </xf>
    <xf numFmtId="4" fontId="0" fillId="0" borderId="0" xfId="0" applyNumberFormat="1" applyBorder="1" applyAlignment="1">
      <alignment horizontal="center" vertical="center"/>
    </xf>
    <xf numFmtId="165" fontId="0" fillId="0" borderId="0" xfId="0" applyNumberFormat="1" applyFont="1" applyFill="1" applyBorder="1" applyAlignment="1">
      <alignment horizontal="center" vertical="center"/>
    </xf>
    <xf numFmtId="165" fontId="0" fillId="0" borderId="7" xfId="0" applyNumberFormat="1" applyFont="1" applyFill="1" applyBorder="1" applyAlignment="1">
      <alignment horizontal="center" vertical="center"/>
    </xf>
    <xf numFmtId="0" fontId="2" fillId="4" borderId="7" xfId="0" applyFont="1" applyFill="1" applyBorder="1" applyAlignment="1">
      <alignment vertical="center"/>
    </xf>
    <xf numFmtId="0" fontId="2" fillId="4" borderId="7" xfId="0" applyFont="1" applyFill="1" applyBorder="1" applyAlignment="1">
      <alignment horizontal="left" vertical="center"/>
    </xf>
    <xf numFmtId="0" fontId="2" fillId="4" borderId="4" xfId="0" applyFont="1" applyFill="1" applyBorder="1" applyAlignment="1">
      <alignment vertical="center"/>
    </xf>
    <xf numFmtId="0" fontId="2" fillId="4" borderId="5" xfId="0" applyFont="1" applyFill="1" applyBorder="1" applyAlignment="1">
      <alignment vertical="center"/>
    </xf>
    <xf numFmtId="3" fontId="0" fillId="0" borderId="13" xfId="0" applyNumberFormat="1" applyFont="1" applyBorder="1" applyAlignment="1">
      <alignment vertical="center" wrapText="1"/>
    </xf>
    <xf numFmtId="3" fontId="0" fillId="0" borderId="13" xfId="0" applyNumberFormat="1" applyFont="1" applyFill="1" applyBorder="1" applyAlignment="1">
      <alignment horizontal="right" vertical="center"/>
    </xf>
    <xf numFmtId="168" fontId="0" fillId="0" borderId="0" xfId="2" applyNumberFormat="1" applyFont="1" applyBorder="1" applyAlignment="1">
      <alignment horizontal="center" vertical="center"/>
    </xf>
    <xf numFmtId="0" fontId="0" fillId="0" borderId="6" xfId="0" applyFont="1" applyBorder="1" applyAlignment="1">
      <alignment vertical="center"/>
    </xf>
    <xf numFmtId="0" fontId="0" fillId="0" borderId="14" xfId="0" applyFont="1" applyBorder="1" applyAlignment="1">
      <alignment vertical="center"/>
    </xf>
    <xf numFmtId="0" fontId="0" fillId="0" borderId="0" xfId="0" applyFill="1" applyBorder="1" applyAlignment="1">
      <alignment vertical="center"/>
    </xf>
    <xf numFmtId="167" fontId="2" fillId="4" borderId="6" xfId="1" applyNumberFormat="1" applyFont="1" applyFill="1" applyBorder="1" applyAlignment="1">
      <alignment horizontal="right" vertical="center"/>
    </xf>
    <xf numFmtId="0" fontId="0" fillId="0" borderId="0" xfId="0" applyFont="1" applyBorder="1" applyAlignment="1">
      <alignment vertical="center"/>
    </xf>
    <xf numFmtId="0" fontId="0" fillId="0" borderId="14" xfId="0" applyFont="1" applyFill="1" applyBorder="1" applyAlignment="1">
      <alignment horizontal="right" vertical="center"/>
    </xf>
    <xf numFmtId="4" fontId="0" fillId="0" borderId="0" xfId="0" applyNumberFormat="1" applyFon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168" fontId="0" fillId="0" borderId="0" xfId="2"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3" fontId="0" fillId="0" borderId="6"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3" fontId="0" fillId="0" borderId="0" xfId="1"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0" fillId="0" borderId="7" xfId="0" applyFont="1" applyFill="1" applyBorder="1" applyAlignment="1">
      <alignment horizontal="center" vertical="center"/>
    </xf>
    <xf numFmtId="3" fontId="0" fillId="0" borderId="7"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2" fontId="0" fillId="0" borderId="7" xfId="0" applyNumberFormat="1" applyFont="1" applyFill="1" applyBorder="1" applyAlignment="1">
      <alignment horizontal="center" vertical="center"/>
    </xf>
    <xf numFmtId="3" fontId="0" fillId="0" borderId="7" xfId="1"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165" fontId="0" fillId="0" borderId="5" xfId="0" applyNumberFormat="1" applyFont="1" applyFill="1" applyBorder="1" applyAlignment="1">
      <alignment horizontal="center" vertical="center"/>
    </xf>
    <xf numFmtId="0" fontId="0" fillId="4" borderId="3" xfId="0" applyFill="1" applyBorder="1"/>
    <xf numFmtId="0" fontId="0" fillId="4" borderId="7" xfId="0" applyFill="1" applyBorder="1"/>
    <xf numFmtId="0" fontId="0" fillId="4" borderId="5" xfId="0" applyFill="1" applyBorder="1"/>
    <xf numFmtId="9" fontId="2" fillId="4" borderId="6" xfId="0" applyNumberFormat="1" applyFont="1" applyFill="1" applyBorder="1" applyAlignment="1">
      <alignment horizontal="right" vertical="center"/>
    </xf>
    <xf numFmtId="0" fontId="0" fillId="0" borderId="0" xfId="0" applyFont="1" applyFill="1" applyBorder="1" applyAlignment="1">
      <alignment vertical="center"/>
    </xf>
    <xf numFmtId="3" fontId="0" fillId="0" borderId="12" xfId="0" applyNumberFormat="1" applyFont="1" applyFill="1" applyBorder="1" applyAlignment="1">
      <alignment horizontal="righ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2" fillId="5" borderId="12" xfId="0" applyFont="1" applyFill="1" applyBorder="1" applyAlignment="1">
      <alignment vertical="center"/>
    </xf>
    <xf numFmtId="0" fontId="0" fillId="0" borderId="0" xfId="0" applyFont="1" applyFill="1" applyBorder="1" applyAlignment="1">
      <alignment horizontal="left" vertical="center"/>
    </xf>
    <xf numFmtId="0" fontId="0" fillId="2" borderId="18" xfId="0" applyFill="1" applyBorder="1" applyAlignment="1">
      <alignment horizontal="center" vertical="center"/>
    </xf>
    <xf numFmtId="0" fontId="0" fillId="2" borderId="18" xfId="0" applyFill="1" applyBorder="1" applyAlignment="1">
      <alignment vertical="center"/>
    </xf>
    <xf numFmtId="3" fontId="0" fillId="0" borderId="0" xfId="0" applyNumberFormat="1"/>
    <xf numFmtId="3" fontId="0" fillId="0" borderId="18" xfId="0" applyNumberFormat="1" applyBorder="1"/>
    <xf numFmtId="2" fontId="0" fillId="0" borderId="18" xfId="0" applyNumberFormat="1" applyBorder="1" applyAlignment="1">
      <alignment vertical="center"/>
    </xf>
    <xf numFmtId="2" fontId="0" fillId="0" borderId="18" xfId="0" applyNumberFormat="1" applyBorder="1" applyAlignment="1">
      <alignment horizontal="right"/>
    </xf>
    <xf numFmtId="169" fontId="0" fillId="0" borderId="1"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2" fontId="0" fillId="0" borderId="18" xfId="0" applyNumberFormat="1" applyBorder="1" applyAlignment="1"/>
    <xf numFmtId="0" fontId="0" fillId="0" borderId="4" xfId="0" applyFont="1" applyBorder="1" applyAlignment="1">
      <alignment vertical="center"/>
    </xf>
    <xf numFmtId="0" fontId="0" fillId="0" borderId="0" xfId="0" applyBorder="1"/>
    <xf numFmtId="0" fontId="0" fillId="0" borderId="4" xfId="0" applyFont="1" applyFill="1" applyBorder="1" applyAlignment="1">
      <alignment vertical="center"/>
    </xf>
    <xf numFmtId="0" fontId="0" fillId="0" borderId="0" xfId="0" applyBorder="1" applyAlignment="1">
      <alignment horizontal="left" vertical="center"/>
    </xf>
    <xf numFmtId="3" fontId="3" fillId="0" borderId="0" xfId="0" applyNumberFormat="1" applyFont="1" applyFill="1" applyBorder="1" applyAlignment="1">
      <alignment horizontal="center" vertical="center"/>
    </xf>
    <xf numFmtId="3" fontId="3" fillId="0" borderId="0" xfId="0" applyNumberFormat="1" applyFont="1" applyBorder="1" applyAlignment="1">
      <alignment horizontal="center" vertical="center"/>
    </xf>
    <xf numFmtId="3" fontId="3" fillId="0" borderId="7"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Font="1" applyFill="1" applyBorder="1" applyAlignment="1">
      <alignment horizontal="right" vertical="center"/>
    </xf>
    <xf numFmtId="0" fontId="0" fillId="0" borderId="0" xfId="0" applyFill="1" applyBorder="1" applyAlignment="1">
      <alignment horizontal="left" vertical="center"/>
    </xf>
    <xf numFmtId="0" fontId="2" fillId="0" borderId="1" xfId="0" applyFont="1" applyFill="1" applyBorder="1" applyAlignment="1">
      <alignment vertical="center"/>
    </xf>
    <xf numFmtId="0" fontId="2" fillId="4" borderId="11" xfId="0" applyFont="1" applyFill="1" applyBorder="1" applyAlignment="1">
      <alignment vertical="center"/>
    </xf>
    <xf numFmtId="0" fontId="2" fillId="4" borderId="3" xfId="0" applyFont="1" applyFill="1" applyBorder="1" applyAlignment="1">
      <alignment vertical="center"/>
    </xf>
    <xf numFmtId="0" fontId="2" fillId="4" borderId="5" xfId="0" applyFont="1" applyFill="1" applyBorder="1" applyAlignment="1">
      <alignment horizontal="left" vertical="center"/>
    </xf>
    <xf numFmtId="4" fontId="0" fillId="0" borderId="7"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4" fontId="0" fillId="0" borderId="2" xfId="0" applyNumberFormat="1" applyFont="1" applyBorder="1" applyAlignment="1">
      <alignment horizontal="center" vertical="center"/>
    </xf>
    <xf numFmtId="3" fontId="0" fillId="0" borderId="7" xfId="0" applyNumberFormat="1" applyFont="1" applyBorder="1" applyAlignment="1">
      <alignment horizontal="center" vertical="center"/>
    </xf>
    <xf numFmtId="0" fontId="3" fillId="0" borderId="13" xfId="0" applyFont="1" applyBorder="1" applyAlignment="1">
      <alignment vertical="center"/>
    </xf>
    <xf numFmtId="4" fontId="0" fillId="0" borderId="5" xfId="0" applyNumberFormat="1" applyFont="1" applyBorder="1" applyAlignment="1">
      <alignment horizontal="center" vertical="center"/>
    </xf>
    <xf numFmtId="9" fontId="2" fillId="4" borderId="6" xfId="2" applyFont="1" applyFill="1" applyBorder="1" applyAlignment="1">
      <alignment vertical="center"/>
    </xf>
    <xf numFmtId="0" fontId="3" fillId="0" borderId="6" xfId="0" applyFont="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2" fillId="4" borderId="3" xfId="0" applyFont="1" applyFill="1" applyBorder="1" applyAlignment="1">
      <alignment horizontal="left" vertical="center"/>
    </xf>
    <xf numFmtId="2" fontId="2" fillId="4" borderId="11" xfId="0" applyNumberFormat="1" applyFont="1" applyFill="1" applyBorder="1" applyAlignment="1">
      <alignment vertical="center"/>
    </xf>
    <xf numFmtId="2" fontId="2" fillId="4" borderId="4" xfId="0" applyNumberFormat="1" applyFont="1" applyFill="1" applyBorder="1" applyAlignment="1">
      <alignment vertical="center"/>
    </xf>
    <xf numFmtId="0" fontId="6" fillId="0" borderId="6" xfId="0" applyFont="1" applyFill="1" applyBorder="1" applyAlignment="1">
      <alignment vertical="center" textRotation="90"/>
    </xf>
    <xf numFmtId="0" fontId="0" fillId="0" borderId="19" xfId="0" applyFont="1" applyBorder="1" applyAlignment="1">
      <alignment vertical="center"/>
    </xf>
    <xf numFmtId="0" fontId="0" fillId="0" borderId="19" xfId="0" applyFont="1" applyFill="1" applyBorder="1" applyAlignment="1">
      <alignment horizontal="right" vertical="center"/>
    </xf>
    <xf numFmtId="169" fontId="0" fillId="0" borderId="2" xfId="0" applyNumberFormat="1" applyFont="1" applyFill="1" applyBorder="1" applyAlignment="1">
      <alignment horizontal="center" vertical="center"/>
    </xf>
    <xf numFmtId="164" fontId="0" fillId="0" borderId="0" xfId="0" applyNumberFormat="1" applyFont="1" applyBorder="1" applyAlignment="1">
      <alignment horizontal="center" vertical="center"/>
    </xf>
    <xf numFmtId="164" fontId="0" fillId="0" borderId="1" xfId="0" applyNumberFormat="1" applyFont="1" applyFill="1" applyBorder="1" applyAlignment="1">
      <alignment horizontal="center" vertical="center"/>
    </xf>
    <xf numFmtId="0" fontId="0" fillId="0" borderId="14" xfId="0" applyFont="1" applyFill="1" applyBorder="1" applyAlignment="1">
      <alignment vertical="center"/>
    </xf>
    <xf numFmtId="0" fontId="0" fillId="0" borderId="6" xfId="0" applyFont="1" applyFill="1" applyBorder="1" applyAlignment="1">
      <alignment horizontal="right" vertical="center"/>
    </xf>
    <xf numFmtId="3" fontId="0" fillId="0" borderId="6" xfId="0" applyNumberFormat="1" applyFont="1" applyBorder="1" applyAlignment="1">
      <alignment vertical="center" wrapText="1"/>
    </xf>
    <xf numFmtId="0" fontId="0" fillId="0" borderId="12" xfId="0" applyFont="1" applyFill="1" applyBorder="1" applyAlignment="1">
      <alignment vertical="center"/>
    </xf>
    <xf numFmtId="2" fontId="3" fillId="0" borderId="0"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0" fillId="0" borderId="6" xfId="1"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0" fontId="0" fillId="0" borderId="0" xfId="0" applyAlignment="1">
      <alignment horizontal="center"/>
    </xf>
    <xf numFmtId="0" fontId="0" fillId="2" borderId="14" xfId="0" applyFill="1" applyBorder="1" applyAlignment="1">
      <alignment horizontal="center" vertical="center"/>
    </xf>
    <xf numFmtId="0" fontId="2" fillId="5" borderId="12" xfId="0" applyFont="1" applyFill="1" applyBorder="1"/>
    <xf numFmtId="0" fontId="8" fillId="4" borderId="6" xfId="0" applyFont="1" applyFill="1" applyBorder="1" applyAlignment="1">
      <alignment vertical="center"/>
    </xf>
    <xf numFmtId="0" fontId="0" fillId="0" borderId="15" xfId="0" applyFont="1" applyFill="1" applyBorder="1" applyAlignment="1">
      <alignment vertical="center"/>
    </xf>
    <xf numFmtId="169" fontId="0" fillId="0" borderId="5" xfId="0" applyNumberFormat="1" applyFont="1" applyFill="1" applyBorder="1" applyAlignment="1">
      <alignment horizontal="center" vertical="center"/>
    </xf>
    <xf numFmtId="0" fontId="2" fillId="0" borderId="0" xfId="0" applyFont="1" applyBorder="1" applyAlignment="1">
      <alignment horizontal="center" vertical="center"/>
    </xf>
    <xf numFmtId="4" fontId="0" fillId="0" borderId="7" xfId="0" applyNumberFormat="1" applyFont="1" applyBorder="1" applyAlignment="1">
      <alignment horizontal="center" vertical="center"/>
    </xf>
    <xf numFmtId="2" fontId="3" fillId="0" borderId="4" xfId="0" applyNumberFormat="1" applyFont="1" applyFill="1" applyBorder="1" applyAlignment="1">
      <alignment horizontal="center" vertical="center"/>
    </xf>
    <xf numFmtId="4" fontId="0" fillId="0" borderId="16" xfId="0" applyNumberFormat="1" applyFont="1" applyFill="1" applyBorder="1" applyAlignment="1">
      <alignment horizontal="center" vertical="center"/>
    </xf>
    <xf numFmtId="4" fontId="0" fillId="0" borderId="17" xfId="0" applyNumberFormat="1" applyFont="1" applyFill="1" applyBorder="1" applyAlignment="1">
      <alignment horizontal="center" vertical="center"/>
    </xf>
    <xf numFmtId="4" fontId="0" fillId="0" borderId="20"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165" fontId="0" fillId="0" borderId="3" xfId="0" applyNumberFormat="1" applyFont="1" applyFill="1" applyBorder="1" applyAlignment="1">
      <alignment horizontal="center" vertical="center"/>
    </xf>
    <xf numFmtId="169" fontId="0" fillId="0" borderId="11" xfId="0" applyNumberFormat="1" applyFont="1" applyFill="1" applyBorder="1" applyAlignment="1">
      <alignment horizontal="center" vertical="center"/>
    </xf>
    <xf numFmtId="169" fontId="0" fillId="0" borderId="6" xfId="0" applyNumberFormat="1" applyFont="1" applyFill="1" applyBorder="1" applyAlignment="1">
      <alignment horizontal="center" vertical="center"/>
    </xf>
    <xf numFmtId="169" fontId="0" fillId="0" borderId="4" xfId="0" applyNumberFormat="1" applyFont="1" applyFill="1" applyBorder="1" applyAlignment="1">
      <alignment horizontal="center" vertical="center"/>
    </xf>
    <xf numFmtId="169" fontId="0" fillId="0" borderId="9" xfId="0" applyNumberFormat="1" applyBorder="1"/>
    <xf numFmtId="169" fontId="0" fillId="0" borderId="10" xfId="0" applyNumberFormat="1" applyBorder="1"/>
    <xf numFmtId="0" fontId="0" fillId="4" borderId="11" xfId="0" applyFill="1" applyBorder="1" applyAlignment="1">
      <alignment horizontal="center"/>
    </xf>
    <xf numFmtId="0" fontId="0" fillId="4" borderId="6" xfId="0" applyFill="1" applyBorder="1" applyAlignment="1">
      <alignment horizontal="center"/>
    </xf>
    <xf numFmtId="0" fontId="0" fillId="4" borderId="8" xfId="0" applyFont="1" applyFill="1" applyBorder="1" applyAlignment="1">
      <alignment horizontal="center" vertical="center"/>
    </xf>
    <xf numFmtId="0" fontId="0" fillId="4" borderId="10"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4" fontId="0" fillId="0" borderId="6" xfId="0"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169" fontId="0" fillId="0" borderId="11" xfId="0" applyNumberFormat="1" applyBorder="1" applyAlignment="1">
      <alignment horizontal="center"/>
    </xf>
    <xf numFmtId="169" fontId="0" fillId="0" borderId="1" xfId="0" applyNumberFormat="1" applyBorder="1" applyAlignment="1">
      <alignment horizontal="center"/>
    </xf>
    <xf numFmtId="169" fontId="0" fillId="0" borderId="3" xfId="0" applyNumberForma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169" fontId="0" fillId="0" borderId="6" xfId="0" applyNumberFormat="1" applyBorder="1" applyAlignment="1">
      <alignment horizontal="center"/>
    </xf>
    <xf numFmtId="169" fontId="0" fillId="0" borderId="0" xfId="0" applyNumberFormat="1" applyBorder="1" applyAlignment="1">
      <alignment horizontal="center"/>
    </xf>
    <xf numFmtId="169" fontId="0" fillId="0" borderId="7" xfId="0" applyNumberFormat="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165" fontId="0" fillId="0" borderId="6" xfId="0" applyNumberFormat="1" applyBorder="1" applyAlignment="1">
      <alignment horizontal="center"/>
    </xf>
    <xf numFmtId="165" fontId="0" fillId="0" borderId="0" xfId="0" applyNumberFormat="1" applyBorder="1" applyAlignment="1">
      <alignment horizontal="center"/>
    </xf>
    <xf numFmtId="165" fontId="0" fillId="0" borderId="7" xfId="0" applyNumberFormat="1" applyBorder="1" applyAlignment="1">
      <alignment horizontal="center"/>
    </xf>
    <xf numFmtId="0" fontId="0" fillId="4" borderId="4" xfId="0" applyFill="1" applyBorder="1" applyAlignment="1">
      <alignment horizontal="center"/>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xf>
    <xf numFmtId="165" fontId="0" fillId="0" borderId="13" xfId="0" applyNumberFormat="1" applyBorder="1" applyAlignment="1">
      <alignment horizontal="center" vertical="center"/>
    </xf>
    <xf numFmtId="0" fontId="0" fillId="0" borderId="0" xfId="0"/>
    <xf numFmtId="3" fontId="0" fillId="0" borderId="1" xfId="0" applyNumberFormat="1" applyFont="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0" borderId="0" xfId="0" applyFont="1" applyBorder="1" applyAlignment="1">
      <alignment vertical="center"/>
    </xf>
    <xf numFmtId="0" fontId="0" fillId="0" borderId="4" xfId="0" applyBorder="1" applyAlignment="1">
      <alignment horizontal="center" vertical="center"/>
    </xf>
    <xf numFmtId="3" fontId="0" fillId="0" borderId="0"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0" fillId="0" borderId="7"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3" fontId="0" fillId="0" borderId="3" xfId="0" applyNumberFormat="1" applyFont="1" applyFill="1" applyBorder="1" applyAlignment="1">
      <alignment horizontal="center" vertical="center"/>
    </xf>
    <xf numFmtId="0" fontId="0" fillId="0" borderId="6" xfId="0" applyBorder="1" applyAlignment="1">
      <alignment horizontal="center" vertical="center"/>
    </xf>
    <xf numFmtId="165" fontId="0" fillId="0" borderId="0" xfId="0" applyNumberFormat="1" applyBorder="1" applyAlignment="1">
      <alignment horizontal="center" vertical="center"/>
    </xf>
    <xf numFmtId="165" fontId="0" fillId="0" borderId="2" xfId="0" applyNumberFormat="1" applyBorder="1" applyAlignment="1">
      <alignment horizontal="center" vertical="center"/>
    </xf>
    <xf numFmtId="0" fontId="0" fillId="0" borderId="1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4" fillId="6" borderId="0" xfId="0" applyFont="1" applyFill="1"/>
    <xf numFmtId="4" fontId="0" fillId="0" borderId="4" xfId="0" applyNumberFormat="1" applyFont="1" applyFill="1" applyBorder="1" applyAlignment="1">
      <alignment horizontal="center" vertical="center"/>
    </xf>
    <xf numFmtId="0" fontId="0" fillId="2" borderId="12" xfId="0" applyFont="1" applyFill="1" applyBorder="1" applyAlignment="1">
      <alignment vertical="center"/>
    </xf>
    <xf numFmtId="0" fontId="0" fillId="2" borderId="13" xfId="0" applyFill="1" applyBorder="1"/>
    <xf numFmtId="0" fontId="0" fillId="2" borderId="13" xfId="0" applyFont="1" applyFill="1" applyBorder="1" applyAlignment="1">
      <alignment vertical="center"/>
    </xf>
    <xf numFmtId="0" fontId="0" fillId="2" borderId="14" xfId="0" applyFont="1" applyFill="1" applyBorder="1" applyAlignment="1">
      <alignment vertical="center"/>
    </xf>
    <xf numFmtId="0" fontId="0" fillId="2" borderId="11" xfId="0" applyFont="1" applyFill="1" applyBorder="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8" xfId="0" applyFont="1" applyFill="1" applyBorder="1" applyAlignment="1">
      <alignment vertical="center"/>
    </xf>
    <xf numFmtId="0" fontId="0" fillId="2" borderId="12" xfId="0" applyFill="1" applyBorder="1" applyAlignment="1">
      <alignment horizontal="center" vertical="center"/>
    </xf>
    <xf numFmtId="0" fontId="0" fillId="2" borderId="14" xfId="0" applyFill="1" applyBorder="1" applyAlignment="1">
      <alignment horizontal="center"/>
    </xf>
    <xf numFmtId="4" fontId="0" fillId="0" borderId="15" xfId="0" applyNumberFormat="1" applyFont="1" applyFill="1" applyBorder="1" applyAlignment="1">
      <alignment horizontal="center" vertical="center"/>
    </xf>
    <xf numFmtId="169" fontId="0" fillId="0" borderId="21" xfId="0" applyNumberFormat="1" applyFont="1" applyFill="1" applyBorder="1" applyAlignment="1">
      <alignment horizontal="center" vertical="center"/>
    </xf>
    <xf numFmtId="4" fontId="0" fillId="0" borderId="21" xfId="0" applyNumberFormat="1" applyFont="1" applyFill="1" applyBorder="1" applyAlignment="1">
      <alignment horizontal="center" vertical="center"/>
    </xf>
    <xf numFmtId="0" fontId="0" fillId="2" borderId="12" xfId="0" applyFont="1" applyFill="1" applyBorder="1" applyAlignment="1">
      <alignment horizontal="left" vertical="center"/>
    </xf>
    <xf numFmtId="0" fontId="6" fillId="0" borderId="1" xfId="0" applyFont="1" applyFill="1" applyBorder="1" applyAlignment="1">
      <alignment vertical="center" textRotation="90"/>
    </xf>
    <xf numFmtId="0" fontId="6" fillId="0" borderId="0" xfId="0" applyFont="1" applyFill="1" applyBorder="1" applyAlignment="1">
      <alignment vertical="center" textRotation="90"/>
    </xf>
    <xf numFmtId="0" fontId="0" fillId="0" borderId="0" xfId="0" applyFont="1"/>
    <xf numFmtId="0" fontId="0" fillId="0" borderId="12" xfId="0" applyFont="1" applyBorder="1"/>
    <xf numFmtId="0" fontId="0" fillId="5" borderId="13" xfId="0" applyFont="1" applyFill="1" applyBorder="1"/>
    <xf numFmtId="0" fontId="0" fillId="0" borderId="0" xfId="0" applyFont="1" applyFill="1"/>
    <xf numFmtId="0" fontId="0" fillId="0" borderId="0" xfId="0" applyFill="1"/>
    <xf numFmtId="0" fontId="0" fillId="0" borderId="0" xfId="0"/>
    <xf numFmtId="3" fontId="0" fillId="0" borderId="0" xfId="0" applyNumberFormat="1" applyFont="1" applyBorder="1" applyAlignment="1">
      <alignment horizontal="center" vertical="center"/>
    </xf>
    <xf numFmtId="0" fontId="2" fillId="4" borderId="6" xfId="0" applyFont="1" applyFill="1" applyBorder="1" applyAlignment="1">
      <alignment vertical="center"/>
    </xf>
    <xf numFmtId="9" fontId="2" fillId="4" borderId="6" xfId="0" applyNumberFormat="1" applyFont="1" applyFill="1" applyBorder="1" applyAlignment="1">
      <alignment vertical="center"/>
    </xf>
    <xf numFmtId="0" fontId="0" fillId="0" borderId="0" xfId="0" applyBorder="1" applyAlignment="1">
      <alignment vertical="center"/>
    </xf>
    <xf numFmtId="0" fontId="0" fillId="0" borderId="13" xfId="0" applyFont="1" applyFill="1" applyBorder="1" applyAlignment="1">
      <alignment horizontal="right" vertical="center"/>
    </xf>
    <xf numFmtId="0" fontId="0" fillId="0" borderId="0" xfId="0" applyBorder="1" applyAlignment="1">
      <alignment horizontal="center" vertical="center"/>
    </xf>
    <xf numFmtId="0" fontId="2" fillId="4" borderId="7" xfId="0" applyFont="1" applyFill="1" applyBorder="1" applyAlignment="1">
      <alignment vertical="center"/>
    </xf>
    <xf numFmtId="0" fontId="0" fillId="0" borderId="0" xfId="0" applyFont="1" applyBorder="1" applyAlignment="1">
      <alignment vertical="center"/>
    </xf>
    <xf numFmtId="0" fontId="0" fillId="0" borderId="14" xfId="0" applyFont="1" applyFill="1" applyBorder="1" applyAlignment="1">
      <alignment horizontal="right" vertical="center"/>
    </xf>
    <xf numFmtId="169" fontId="0" fillId="0" borderId="0" xfId="0" applyNumberFormat="1" applyFont="1" applyFill="1" applyBorder="1" applyAlignment="1">
      <alignment horizontal="center" vertical="center"/>
    </xf>
    <xf numFmtId="168" fontId="0" fillId="0" borderId="7" xfId="2" applyNumberFormat="1" applyFont="1" applyFill="1" applyBorder="1" applyAlignment="1">
      <alignment horizontal="center" vertical="center"/>
    </xf>
    <xf numFmtId="0" fontId="2" fillId="5" borderId="12" xfId="0" applyFont="1" applyFill="1" applyBorder="1" applyAlignment="1">
      <alignment vertical="center"/>
    </xf>
    <xf numFmtId="0" fontId="0" fillId="2" borderId="18" xfId="0" applyFill="1" applyBorder="1" applyAlignment="1">
      <alignment horizontal="center" vertical="center"/>
    </xf>
    <xf numFmtId="0" fontId="0" fillId="2" borderId="18" xfId="0" applyFill="1" applyBorder="1" applyAlignment="1">
      <alignment vertical="center"/>
    </xf>
    <xf numFmtId="3" fontId="0" fillId="0" borderId="0" xfId="0" applyNumberFormat="1"/>
    <xf numFmtId="3" fontId="0" fillId="0" borderId="18" xfId="0" applyNumberFormat="1" applyBorder="1"/>
    <xf numFmtId="2" fontId="0" fillId="0" borderId="18" xfId="0" applyNumberFormat="1" applyBorder="1" applyAlignment="1">
      <alignment horizontal="right"/>
    </xf>
    <xf numFmtId="2" fontId="0" fillId="0" borderId="18" xfId="0" applyNumberFormat="1" applyBorder="1" applyAlignment="1"/>
    <xf numFmtId="0" fontId="0" fillId="0" borderId="0" xfId="0" applyBorder="1" applyAlignment="1">
      <alignment horizontal="left" vertical="center"/>
    </xf>
    <xf numFmtId="0" fontId="0" fillId="0" borderId="0" xfId="0" applyAlignment="1">
      <alignment horizontal="center"/>
    </xf>
    <xf numFmtId="0" fontId="0" fillId="2" borderId="12" xfId="0" applyFont="1" applyFill="1" applyBorder="1" applyAlignment="1">
      <alignment horizontal="left" vertical="center"/>
    </xf>
    <xf numFmtId="0" fontId="0" fillId="5" borderId="13" xfId="0" applyFont="1" applyFill="1" applyBorder="1"/>
    <xf numFmtId="0" fontId="0" fillId="2" borderId="14" xfId="0" applyFont="1" applyFill="1" applyBorder="1" applyAlignment="1">
      <alignment horizontal="left" vertical="center"/>
    </xf>
    <xf numFmtId="165" fontId="0" fillId="0" borderId="0" xfId="2" applyNumberFormat="1" applyFont="1" applyFill="1" applyBorder="1" applyAlignment="1">
      <alignment horizontal="center" vertical="center"/>
    </xf>
    <xf numFmtId="165" fontId="0" fillId="0" borderId="0" xfId="2" applyNumberFormat="1" applyFont="1" applyBorder="1" applyAlignment="1">
      <alignment horizontal="center" vertical="center"/>
    </xf>
    <xf numFmtId="165" fontId="0" fillId="0" borderId="7" xfId="2" applyNumberFormat="1" applyFont="1" applyFill="1" applyBorder="1" applyAlignment="1">
      <alignment horizontal="center" vertical="center"/>
    </xf>
    <xf numFmtId="1" fontId="0" fillId="0" borderId="1" xfId="0" applyNumberFormat="1" applyBorder="1" applyAlignment="1">
      <alignment horizontal="right"/>
    </xf>
    <xf numFmtId="9" fontId="0" fillId="0" borderId="0" xfId="2" applyFont="1" applyFill="1" applyBorder="1" applyAlignment="1">
      <alignment horizontal="center" vertical="center"/>
    </xf>
    <xf numFmtId="9" fontId="0" fillId="0" borderId="0" xfId="2" applyNumberFormat="1" applyFont="1" applyBorder="1" applyAlignment="1">
      <alignment horizontal="center" vertical="center"/>
    </xf>
    <xf numFmtId="9" fontId="0" fillId="0" borderId="0" xfId="2" applyNumberFormat="1" applyFont="1" applyFill="1" applyBorder="1" applyAlignment="1">
      <alignment horizontal="center" vertical="center"/>
    </xf>
    <xf numFmtId="9" fontId="0" fillId="0" borderId="7" xfId="2" applyNumberFormat="1" applyFont="1" applyFill="1" applyBorder="1" applyAlignment="1">
      <alignment horizontal="center" vertical="center"/>
    </xf>
    <xf numFmtId="0" fontId="0" fillId="2" borderId="6" xfId="0" applyFont="1" applyFill="1" applyBorder="1" applyAlignment="1">
      <alignment horizontal="left" vertical="center"/>
    </xf>
    <xf numFmtId="3" fontId="0" fillId="0" borderId="6" xfId="0" applyNumberFormat="1" applyBorder="1" applyAlignment="1">
      <alignment horizontal="center"/>
    </xf>
    <xf numFmtId="3" fontId="0" fillId="0" borderId="0" xfId="0" applyNumberFormat="1" applyBorder="1" applyAlignment="1">
      <alignment horizontal="center"/>
    </xf>
    <xf numFmtId="3" fontId="0" fillId="0" borderId="7" xfId="0" applyNumberFormat="1" applyBorder="1" applyAlignment="1">
      <alignment horizontal="center"/>
    </xf>
    <xf numFmtId="3" fontId="0" fillId="0" borderId="4" xfId="0" applyNumberFormat="1" applyBorder="1" applyAlignment="1">
      <alignment horizontal="center"/>
    </xf>
    <xf numFmtId="3" fontId="0" fillId="0" borderId="2" xfId="0" applyNumberFormat="1" applyBorder="1" applyAlignment="1">
      <alignment horizontal="center"/>
    </xf>
    <xf numFmtId="3" fontId="0" fillId="0" borderId="5" xfId="0" applyNumberFormat="1" applyBorder="1" applyAlignment="1">
      <alignment horizont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xf numFmtId="0" fontId="0" fillId="0" borderId="0" xfId="0" applyFont="1" applyAlignment="1"/>
    <xf numFmtId="0" fontId="0" fillId="0" borderId="0" xfId="0"/>
    <xf numFmtId="0" fontId="0" fillId="0" borderId="0" xfId="0"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7"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0" fontId="0" fillId="2" borderId="18" xfId="0" applyFill="1" applyBorder="1" applyAlignment="1">
      <alignment horizontal="center" vertical="center"/>
    </xf>
    <xf numFmtId="0" fontId="0" fillId="2" borderId="18" xfId="0" applyFill="1" applyBorder="1" applyAlignment="1">
      <alignment vertical="center"/>
    </xf>
    <xf numFmtId="2" fontId="0" fillId="0" borderId="18" xfId="0" applyNumberFormat="1" applyBorder="1" applyAlignment="1">
      <alignment horizontal="right"/>
    </xf>
    <xf numFmtId="0" fontId="2" fillId="0" borderId="0" xfId="0" applyFont="1" applyFill="1" applyBorder="1" applyAlignment="1">
      <alignment horizontal="center" vertical="center"/>
    </xf>
    <xf numFmtId="0" fontId="0" fillId="0" borderId="0" xfId="0" applyAlignment="1">
      <alignment horizontal="center"/>
    </xf>
    <xf numFmtId="0" fontId="0" fillId="2" borderId="12" xfId="0" applyFont="1" applyFill="1" applyBorder="1" applyAlignment="1">
      <alignment vertical="center"/>
    </xf>
    <xf numFmtId="0" fontId="0" fillId="2" borderId="14" xfId="0" applyFont="1" applyFill="1" applyBorder="1" applyAlignment="1">
      <alignment horizontal="left" vertical="center"/>
    </xf>
    <xf numFmtId="165" fontId="0" fillId="0" borderId="0" xfId="0" applyNumberFormat="1"/>
    <xf numFmtId="0" fontId="0" fillId="0" borderId="0" xfId="0" applyAlignment="1">
      <alignment horizontal="right"/>
    </xf>
    <xf numFmtId="2" fontId="0" fillId="0" borderId="0" xfId="0" applyNumberFormat="1" applyBorder="1" applyAlignment="1"/>
    <xf numFmtId="0" fontId="0" fillId="2" borderId="13" xfId="0" applyFont="1" applyFill="1" applyBorder="1" applyAlignment="1">
      <alignment horizontal="left" vertical="center"/>
    </xf>
    <xf numFmtId="4" fontId="0" fillId="0" borderId="1" xfId="0" applyNumberFormat="1" applyFont="1" applyFill="1" applyBorder="1" applyAlignment="1">
      <alignment horizontal="center" vertical="center"/>
    </xf>
    <xf numFmtId="3" fontId="0" fillId="0" borderId="0" xfId="0" applyNumberFormat="1"/>
    <xf numFmtId="2" fontId="0" fillId="0" borderId="18" xfId="0" applyNumberFormat="1" applyBorder="1" applyAlignment="1">
      <alignment horizontal="right"/>
    </xf>
    <xf numFmtId="0" fontId="0" fillId="0" borderId="0" xfId="0" applyFont="1"/>
    <xf numFmtId="0" fontId="0" fillId="0" borderId="8" xfId="0" applyFill="1" applyBorder="1"/>
    <xf numFmtId="0" fontId="0" fillId="0" borderId="10" xfId="0" applyFill="1" applyBorder="1"/>
    <xf numFmtId="0" fontId="0" fillId="0" borderId="8" xfId="0" applyFont="1" applyFill="1" applyBorder="1"/>
    <xf numFmtId="165" fontId="0" fillId="0" borderId="8" xfId="0" applyNumberFormat="1" applyFill="1" applyBorder="1" applyAlignment="1">
      <alignment horizontal="right"/>
    </xf>
    <xf numFmtId="168" fontId="0" fillId="0" borderId="8" xfId="0" applyNumberFormat="1" applyFill="1" applyBorder="1" applyAlignment="1">
      <alignment horizontal="right"/>
    </xf>
    <xf numFmtId="3" fontId="0" fillId="0" borderId="8" xfId="0" applyNumberFormat="1" applyFill="1" applyBorder="1"/>
    <xf numFmtId="3" fontId="0" fillId="0" borderId="8" xfId="0" applyNumberFormat="1" applyFont="1" applyFill="1" applyBorder="1"/>
    <xf numFmtId="0" fontId="0" fillId="0" borderId="10" xfId="0" applyFont="1" applyFill="1" applyBorder="1"/>
    <xf numFmtId="165" fontId="0" fillId="0" borderId="8" xfId="0" applyNumberFormat="1" applyFill="1" applyBorder="1"/>
    <xf numFmtId="0" fontId="0" fillId="0" borderId="0" xfId="0"/>
    <xf numFmtId="0" fontId="0" fillId="0" borderId="0" xfId="0" applyFont="1" applyFill="1" applyBorder="1" applyAlignment="1">
      <alignment vertical="center"/>
    </xf>
    <xf numFmtId="0" fontId="0" fillId="2" borderId="18" xfId="0" applyFill="1" applyBorder="1" applyAlignment="1">
      <alignment horizontal="center" vertical="center"/>
    </xf>
    <xf numFmtId="3" fontId="0" fillId="0" borderId="18" xfId="0" applyNumberFormat="1" applyBorder="1"/>
    <xf numFmtId="0" fontId="0" fillId="0" borderId="18" xfId="0" applyBorder="1"/>
    <xf numFmtId="2" fontId="0" fillId="0" borderId="18" xfId="0" applyNumberFormat="1" applyBorder="1" applyAlignment="1"/>
    <xf numFmtId="0" fontId="0" fillId="0" borderId="0" xfId="0" applyFill="1"/>
    <xf numFmtId="0" fontId="0" fillId="2" borderId="18" xfId="0" applyFill="1" applyBorder="1"/>
    <xf numFmtId="0" fontId="0" fillId="2" borderId="11" xfId="0" applyFont="1" applyFill="1" applyBorder="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10" xfId="0" applyFill="1" applyBorder="1" applyAlignment="1">
      <alignment horizontal="center"/>
    </xf>
    <xf numFmtId="165" fontId="0" fillId="0" borderId="12" xfId="0" applyNumberFormat="1" applyFont="1" applyFill="1" applyBorder="1" applyAlignment="1">
      <alignment horizontal="center" vertical="center"/>
    </xf>
    <xf numFmtId="165" fontId="0" fillId="0" borderId="13" xfId="0" applyNumberFormat="1" applyFont="1" applyFill="1" applyBorder="1" applyAlignment="1">
      <alignment horizontal="center" vertical="center"/>
    </xf>
    <xf numFmtId="165" fontId="0" fillId="0" borderId="14" xfId="0" applyNumberFormat="1" applyFont="1" applyFill="1" applyBorder="1" applyAlignment="1">
      <alignment horizontal="center" vertical="center"/>
    </xf>
    <xf numFmtId="3" fontId="0" fillId="2" borderId="18" xfId="0" applyNumberFormat="1" applyFill="1" applyBorder="1" applyAlignment="1">
      <alignment horizontal="center"/>
    </xf>
    <xf numFmtId="0" fontId="0" fillId="2" borderId="8" xfId="0" applyFont="1" applyFill="1" applyBorder="1" applyAlignment="1">
      <alignment vertical="center"/>
    </xf>
    <xf numFmtId="3" fontId="0" fillId="0" borderId="0" xfId="0" applyNumberFormat="1" applyFill="1" applyBorder="1" applyAlignment="1">
      <alignment horizontal="center"/>
    </xf>
    <xf numFmtId="0" fontId="0" fillId="0" borderId="0" xfId="0" applyFont="1"/>
    <xf numFmtId="2" fontId="0" fillId="5" borderId="13" xfId="0" applyNumberFormat="1" applyFont="1" applyFill="1" applyBorder="1"/>
    <xf numFmtId="0" fontId="0" fillId="0" borderId="14" xfId="0" applyFont="1" applyFill="1" applyBorder="1"/>
    <xf numFmtId="0" fontId="0" fillId="2" borderId="10" xfId="0" applyFill="1" applyBorder="1" applyAlignment="1">
      <alignment horizontal="center" vertical="center"/>
    </xf>
    <xf numFmtId="0" fontId="9" fillId="5" borderId="14" xfId="3" applyFont="1" applyFill="1" applyBorder="1" applyAlignment="1">
      <alignment wrapText="1"/>
    </xf>
    <xf numFmtId="0" fontId="0" fillId="0" borderId="0" xfId="0" applyFill="1" applyBorder="1" applyAlignment="1">
      <alignment horizontal="center"/>
    </xf>
    <xf numFmtId="0" fontId="0" fillId="2" borderId="6" xfId="0" applyFill="1" applyBorder="1"/>
    <xf numFmtId="0" fontId="0" fillId="0" borderId="3" xfId="0" applyBorder="1"/>
    <xf numFmtId="0" fontId="0" fillId="0" borderId="7" xfId="0" applyBorder="1"/>
    <xf numFmtId="0" fontId="0" fillId="2" borderId="12" xfId="0" applyFill="1" applyBorder="1" applyAlignment="1">
      <alignment horizontal="center"/>
    </xf>
    <xf numFmtId="165" fontId="0" fillId="0" borderId="6" xfId="0" applyNumberFormat="1" applyFont="1" applyFill="1" applyBorder="1" applyAlignment="1">
      <alignment horizontal="center" vertical="center"/>
    </xf>
    <xf numFmtId="0" fontId="0" fillId="0" borderId="6" xfId="0" applyBorder="1"/>
    <xf numFmtId="0" fontId="0" fillId="0" borderId="4" xfId="0" applyBorder="1"/>
    <xf numFmtId="0" fontId="0" fillId="2" borderId="8" xfId="0" applyFill="1" applyBorder="1" applyAlignment="1">
      <alignment vertical="center"/>
    </xf>
    <xf numFmtId="0" fontId="4" fillId="0" borderId="12" xfId="0" applyFont="1" applyFill="1" applyBorder="1" applyAlignment="1">
      <alignment horizontal="left" vertical="center"/>
    </xf>
    <xf numFmtId="0" fontId="0" fillId="0" borderId="0" xfId="0" applyFont="1" applyAlignment="1">
      <alignment horizontal="center"/>
    </xf>
    <xf numFmtId="0" fontId="0" fillId="0" borderId="18" xfId="0" applyFont="1" applyBorder="1" applyAlignment="1">
      <alignment horizontal="center"/>
    </xf>
    <xf numFmtId="0" fontId="0" fillId="0" borderId="0" xfId="0" applyAlignment="1">
      <alignment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2" borderId="13" xfId="0" applyFill="1" applyBorder="1" applyAlignment="1">
      <alignment vertical="center"/>
    </xf>
    <xf numFmtId="0" fontId="0" fillId="2" borderId="14" xfId="0" applyFill="1" applyBorder="1" applyAlignment="1">
      <alignment vertical="center"/>
    </xf>
    <xf numFmtId="0" fontId="0" fillId="2" borderId="18" xfId="0" applyFont="1" applyFill="1" applyBorder="1"/>
    <xf numFmtId="0" fontId="0" fillId="0" borderId="0" xfId="0" applyAlignment="1">
      <alignment vertical="center"/>
    </xf>
    <xf numFmtId="0" fontId="0" fillId="0" borderId="0" xfId="0" applyAlignment="1"/>
    <xf numFmtId="4" fontId="0" fillId="0" borderId="18" xfId="0" applyNumberFormat="1" applyBorder="1" applyAlignment="1">
      <alignment horizontal="center" vertical="center"/>
    </xf>
    <xf numFmtId="4" fontId="0" fillId="0" borderId="18" xfId="0" applyNumberFormat="1" applyBorder="1" applyAlignment="1">
      <alignment horizontal="center"/>
    </xf>
    <xf numFmtId="165" fontId="0" fillId="0" borderId="0" xfId="0" applyNumberFormat="1" applyAlignment="1">
      <alignment horizontal="left" indent="3"/>
    </xf>
    <xf numFmtId="164" fontId="0" fillId="0" borderId="18" xfId="0" applyNumberFormat="1" applyFill="1" applyBorder="1" applyAlignment="1">
      <alignment horizontal="center" vertical="center"/>
    </xf>
    <xf numFmtId="0" fontId="0" fillId="5" borderId="14" xfId="0" applyFont="1" applyFill="1" applyBorder="1" applyAlignment="1">
      <alignment wrapText="1"/>
    </xf>
    <xf numFmtId="0" fontId="0" fillId="0" borderId="0" xfId="0" applyFont="1" applyAlignment="1">
      <alignment vertical="center"/>
    </xf>
    <xf numFmtId="4" fontId="0" fillId="0" borderId="0" xfId="0" applyNumberFormat="1" applyFill="1" applyBorder="1" applyAlignment="1">
      <alignment horizontal="center" vertical="center"/>
    </xf>
    <xf numFmtId="0" fontId="12" fillId="0" borderId="0" xfId="0" applyFont="1" applyFill="1"/>
    <xf numFmtId="0" fontId="12" fillId="0" borderId="0" xfId="0" applyFont="1"/>
    <xf numFmtId="0" fontId="0" fillId="0" borderId="18" xfId="0" applyFill="1" applyBorder="1" applyAlignment="1"/>
    <xf numFmtId="0" fontId="0" fillId="0" borderId="18" xfId="0" applyFont="1" applyFill="1" applyBorder="1" applyAlignment="1"/>
    <xf numFmtId="0" fontId="2" fillId="0" borderId="0" xfId="0" applyFont="1" applyFill="1" applyBorder="1" applyAlignment="1"/>
    <xf numFmtId="0" fontId="2" fillId="0" borderId="6" xfId="0" applyFont="1" applyFill="1" applyBorder="1" applyAlignment="1"/>
    <xf numFmtId="0" fontId="2" fillId="0" borderId="6" xfId="0" applyFont="1" applyFill="1" applyBorder="1" applyAlignment="1">
      <alignment vertical="center"/>
    </xf>
    <xf numFmtId="0" fontId="14" fillId="0" borderId="0" xfId="0" applyFont="1"/>
    <xf numFmtId="0" fontId="0" fillId="0" borderId="13" xfId="0" applyFont="1" applyFill="1" applyBorder="1" applyAlignment="1">
      <alignment vertical="center"/>
    </xf>
    <xf numFmtId="0" fontId="0" fillId="0" borderId="6" xfId="0" applyFont="1" applyFill="1" applyBorder="1" applyAlignment="1">
      <alignment vertical="center"/>
    </xf>
    <xf numFmtId="0" fontId="2" fillId="0" borderId="14" xfId="0" applyFont="1" applyFill="1" applyBorder="1" applyAlignment="1">
      <alignment horizontal="right" vertical="center"/>
    </xf>
    <xf numFmtId="9" fontId="0" fillId="0" borderId="2" xfId="0" applyNumberFormat="1" applyFont="1" applyFill="1" applyBorder="1" applyAlignment="1">
      <alignment horizontal="center" vertical="center"/>
    </xf>
    <xf numFmtId="9" fontId="0" fillId="0" borderId="2" xfId="0" applyNumberFormat="1" applyFont="1" applyBorder="1" applyAlignment="1">
      <alignment horizontal="center" vertical="center"/>
    </xf>
    <xf numFmtId="9" fontId="0" fillId="0" borderId="5" xfId="0" applyNumberFormat="1" applyFont="1" applyBorder="1" applyAlignment="1">
      <alignment horizontal="center" vertical="center"/>
    </xf>
    <xf numFmtId="0" fontId="0" fillId="0" borderId="7" xfId="0" applyFont="1" applyBorder="1" applyAlignment="1">
      <alignment vertical="center"/>
    </xf>
    <xf numFmtId="0" fontId="0" fillId="0" borderId="7" xfId="0" applyFont="1" applyFill="1" applyBorder="1" applyAlignment="1">
      <alignment vertical="center"/>
    </xf>
    <xf numFmtId="3" fontId="2" fillId="4" borderId="6" xfId="0" applyNumberFormat="1" applyFont="1" applyFill="1" applyBorder="1" applyAlignment="1">
      <alignment vertical="center"/>
    </xf>
    <xf numFmtId="3" fontId="3" fillId="0" borderId="13" xfId="0" applyNumberFormat="1" applyFont="1" applyFill="1" applyBorder="1" applyAlignment="1">
      <alignment vertical="center"/>
    </xf>
    <xf numFmtId="0" fontId="3" fillId="0" borderId="5" xfId="0" applyFont="1" applyFill="1" applyBorder="1" applyAlignment="1">
      <alignment vertical="center"/>
    </xf>
    <xf numFmtId="165" fontId="0" fillId="0" borderId="13" xfId="0" applyNumberFormat="1" applyFont="1" applyFill="1" applyBorder="1"/>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13" xfId="0" applyFont="1" applyFill="1" applyBorder="1" applyAlignment="1">
      <alignment vertical="center"/>
    </xf>
    <xf numFmtId="0" fontId="2" fillId="0" borderId="13" xfId="0" applyFont="1" applyFill="1" applyBorder="1" applyAlignment="1">
      <alignment horizontal="right" vertical="center"/>
    </xf>
    <xf numFmtId="9" fontId="0" fillId="0" borderId="0" xfId="0" applyNumberFormat="1" applyFont="1" applyFill="1" applyBorder="1" applyAlignment="1">
      <alignment horizontal="center" vertical="center"/>
    </xf>
    <xf numFmtId="9" fontId="0" fillId="0" borderId="7" xfId="0" applyNumberFormat="1" applyFont="1" applyFill="1" applyBorder="1" applyAlignment="1">
      <alignment horizontal="center" vertical="center"/>
    </xf>
    <xf numFmtId="0" fontId="0" fillId="0" borderId="0" xfId="0" applyFont="1" applyFill="1" applyAlignment="1">
      <alignment horizontal="left" vertical="center"/>
    </xf>
    <xf numFmtId="0" fontId="2" fillId="2" borderId="12" xfId="0" applyFont="1" applyFill="1" applyBorder="1" applyAlignment="1"/>
    <xf numFmtId="0" fontId="10" fillId="0" borderId="6" xfId="0" applyFont="1" applyFill="1" applyBorder="1" applyAlignment="1">
      <alignment horizontal="left"/>
    </xf>
    <xf numFmtId="169" fontId="10" fillId="0" borderId="0" xfId="0" applyNumberFormat="1" applyFont="1" applyBorder="1" applyAlignment="1">
      <alignment horizontal="right"/>
    </xf>
    <xf numFmtId="0" fontId="10" fillId="0" borderId="0" xfId="0" applyFont="1" applyBorder="1" applyAlignment="1">
      <alignment horizontal="left"/>
    </xf>
    <xf numFmtId="0" fontId="10" fillId="0" borderId="7" xfId="0" applyFont="1" applyBorder="1" applyAlignment="1">
      <alignment horizontal="left"/>
    </xf>
    <xf numFmtId="0" fontId="10" fillId="0" borderId="6" xfId="0" applyFont="1" applyBorder="1"/>
    <xf numFmtId="169" fontId="10" fillId="0" borderId="0" xfId="0" applyNumberFormat="1" applyFont="1" applyBorder="1"/>
    <xf numFmtId="0" fontId="10" fillId="0" borderId="0" xfId="0" applyFont="1" applyBorder="1"/>
    <xf numFmtId="0" fontId="10" fillId="0" borderId="7" xfId="0" applyFont="1" applyBorder="1"/>
    <xf numFmtId="0" fontId="10" fillId="0" borderId="4" xfId="0" applyFont="1" applyFill="1" applyBorder="1" applyAlignment="1">
      <alignment horizontal="left"/>
    </xf>
    <xf numFmtId="169" fontId="10" fillId="0" borderId="2" xfId="0" applyNumberFormat="1" applyFont="1" applyBorder="1" applyAlignment="1">
      <alignment horizontal="right"/>
    </xf>
    <xf numFmtId="0" fontId="10" fillId="0" borderId="2" xfId="0" applyFont="1" applyBorder="1" applyAlignment="1">
      <alignment horizontal="left"/>
    </xf>
    <xf numFmtId="0" fontId="0" fillId="0" borderId="5" xfId="0" applyFont="1" applyBorder="1"/>
    <xf numFmtId="0" fontId="13" fillId="0" borderId="0" xfId="0" applyFont="1" applyBorder="1" applyAlignment="1">
      <alignment horizont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2" fillId="0" borderId="9" xfId="0" applyFont="1" applyBorder="1" applyAlignment="1">
      <alignment horizontal="center"/>
    </xf>
    <xf numFmtId="0" fontId="2" fillId="0" borderId="10" xfId="0" applyFont="1" applyBorder="1" applyAlignment="1">
      <alignment horizontal="center" vertical="center" wrapText="1"/>
    </xf>
    <xf numFmtId="0" fontId="0" fillId="0" borderId="3" xfId="0" applyBorder="1" applyAlignment="1">
      <alignment horizontal="center" vertical="center" wrapText="1"/>
    </xf>
    <xf numFmtId="0" fontId="11" fillId="0" borderId="1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3" xfId="0" applyFont="1" applyFill="1" applyBorder="1" applyAlignment="1">
      <alignment horizontal="left" vertical="center"/>
    </xf>
    <xf numFmtId="0" fontId="0" fillId="7" borderId="8" xfId="0" applyFont="1" applyFill="1" applyBorder="1" applyAlignment="1">
      <alignment horizontal="center" wrapText="1"/>
    </xf>
    <xf numFmtId="0" fontId="0" fillId="7" borderId="10" xfId="0" applyFont="1" applyFill="1" applyBorder="1" applyAlignment="1">
      <alignment horizontal="center" wrapText="1"/>
    </xf>
    <xf numFmtId="0" fontId="0" fillId="0" borderId="11" xfId="0" applyFont="1" applyFill="1" applyBorder="1" applyAlignment="1">
      <alignment horizontal="center"/>
    </xf>
    <xf numFmtId="0" fontId="0" fillId="0" borderId="3" xfId="0" applyFont="1" applyFill="1" applyBorder="1" applyAlignment="1">
      <alignment horizontal="center"/>
    </xf>
    <xf numFmtId="0" fontId="0" fillId="7" borderId="6" xfId="0" applyFont="1" applyFill="1" applyBorder="1" applyAlignment="1">
      <alignment horizontal="center"/>
    </xf>
    <xf numFmtId="0" fontId="0" fillId="7" borderId="7"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7" fillId="3" borderId="11" xfId="0" applyFont="1" applyFill="1" applyBorder="1" applyAlignment="1">
      <alignment horizontal="center" vertical="center" textRotation="90" wrapText="1"/>
    </xf>
    <xf numFmtId="0" fontId="7" fillId="3" borderId="6" xfId="0" applyFont="1" applyFill="1" applyBorder="1" applyAlignment="1">
      <alignment horizontal="center" vertical="center" textRotation="90" wrapText="1"/>
    </xf>
    <xf numFmtId="0" fontId="7" fillId="3" borderId="4" xfId="0" applyFont="1" applyFill="1" applyBorder="1" applyAlignment="1">
      <alignment horizontal="center" vertical="center" textRotation="90" wrapText="1"/>
    </xf>
    <xf numFmtId="0" fontId="7" fillId="3" borderId="11" xfId="0" applyFont="1" applyFill="1" applyBorder="1" applyAlignment="1">
      <alignment horizontal="center" vertical="center" textRotation="90"/>
    </xf>
    <xf numFmtId="0" fontId="7" fillId="3" borderId="3" xfId="0" applyFont="1" applyFill="1" applyBorder="1" applyAlignment="1">
      <alignment horizontal="center" vertical="center" textRotation="90"/>
    </xf>
    <xf numFmtId="0" fontId="7" fillId="3" borderId="6" xfId="0" applyFont="1" applyFill="1" applyBorder="1" applyAlignment="1">
      <alignment horizontal="center" vertical="center" textRotation="90"/>
    </xf>
    <xf numFmtId="0" fontId="7" fillId="3" borderId="7" xfId="0" applyFont="1" applyFill="1" applyBorder="1" applyAlignment="1">
      <alignment horizontal="center" vertical="center" textRotation="90"/>
    </xf>
    <xf numFmtId="0" fontId="7" fillId="3" borderId="4" xfId="0" applyFont="1" applyFill="1" applyBorder="1" applyAlignment="1">
      <alignment horizontal="center" vertical="center" textRotation="90"/>
    </xf>
    <xf numFmtId="0" fontId="7" fillId="3" borderId="5" xfId="0" applyFont="1" applyFill="1" applyBorder="1" applyAlignment="1">
      <alignment horizontal="center" vertical="center" textRotation="90"/>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7" fillId="3" borderId="3" xfId="0" applyFont="1" applyFill="1" applyBorder="1" applyAlignment="1">
      <alignment horizontal="center" vertical="center" textRotation="90" wrapText="1"/>
    </xf>
    <xf numFmtId="0" fontId="7" fillId="3" borderId="7" xfId="0" applyFont="1" applyFill="1" applyBorder="1" applyAlignment="1">
      <alignment horizontal="center" vertical="center" textRotation="90" wrapText="1"/>
    </xf>
    <xf numFmtId="0" fontId="7" fillId="3" borderId="5" xfId="0" applyFont="1" applyFill="1" applyBorder="1" applyAlignment="1">
      <alignment horizontal="center" vertical="center" textRotation="90" wrapText="1"/>
    </xf>
    <xf numFmtId="0" fontId="7" fillId="3" borderId="0" xfId="0" applyFont="1" applyFill="1" applyBorder="1" applyAlignment="1">
      <alignment horizontal="center" vertical="center" textRotation="90"/>
    </xf>
    <xf numFmtId="0" fontId="2" fillId="4" borderId="11" xfId="0" applyFont="1" applyFill="1" applyBorder="1" applyAlignment="1">
      <alignment horizontal="center" vertical="center"/>
    </xf>
    <xf numFmtId="0" fontId="2" fillId="4" borderId="3" xfId="0" applyFont="1" applyFill="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7" borderId="6" xfId="0" applyFont="1" applyFill="1" applyBorder="1" applyAlignment="1" applyProtection="1">
      <alignment horizontal="center"/>
      <protection locked="0"/>
    </xf>
    <xf numFmtId="0" fontId="0" fillId="7" borderId="7" xfId="0" applyFont="1" applyFill="1" applyBorder="1" applyAlignment="1" applyProtection="1">
      <alignment horizontal="center"/>
      <protection locked="0"/>
    </xf>
    <xf numFmtId="0" fontId="0" fillId="7" borderId="4" xfId="0" applyFont="1" applyFill="1" applyBorder="1" applyAlignment="1" applyProtection="1">
      <alignment horizontal="center"/>
      <protection locked="0"/>
    </xf>
    <xf numFmtId="0" fontId="0" fillId="7" borderId="5" xfId="0" applyFont="1" applyFill="1" applyBorder="1" applyAlignment="1" applyProtection="1">
      <alignment horizontal="center"/>
      <protection locked="0"/>
    </xf>
    <xf numFmtId="0" fontId="0" fillId="7" borderId="13" xfId="0" applyFont="1" applyFill="1" applyBorder="1" applyAlignment="1" applyProtection="1">
      <alignment horizontal="center" vertical="center"/>
      <protection locked="0"/>
    </xf>
    <xf numFmtId="0" fontId="0" fillId="7" borderId="14" xfId="0" applyFont="1" applyFill="1" applyBorder="1" applyAlignment="1" applyProtection="1">
      <alignment horizontal="center" vertical="center"/>
      <protection locked="0"/>
    </xf>
    <xf numFmtId="3" fontId="0" fillId="7" borderId="13" xfId="0" applyNumberFormat="1" applyFont="1" applyFill="1" applyBorder="1" applyProtection="1">
      <protection locked="0"/>
    </xf>
    <xf numFmtId="0" fontId="0" fillId="7" borderId="13" xfId="0" applyFont="1" applyFill="1" applyBorder="1" applyAlignment="1" applyProtection="1">
      <alignment vertical="center"/>
      <protection locked="0"/>
    </xf>
    <xf numFmtId="3" fontId="0" fillId="7" borderId="14" xfId="0" applyNumberFormat="1" applyFont="1" applyFill="1" applyBorder="1" applyAlignment="1" applyProtection="1">
      <alignment horizontal="right" vertical="center"/>
      <protection locked="0"/>
    </xf>
    <xf numFmtId="165" fontId="0" fillId="7" borderId="7" xfId="0" applyNumberFormat="1" applyFont="1" applyFill="1" applyBorder="1" applyProtection="1">
      <protection locked="0"/>
    </xf>
    <xf numFmtId="9" fontId="0" fillId="7" borderId="7" xfId="2" applyFont="1" applyFill="1" applyBorder="1" applyProtection="1">
      <protection locked="0"/>
    </xf>
    <xf numFmtId="165" fontId="0" fillId="7" borderId="7" xfId="2" applyNumberFormat="1" applyFont="1" applyFill="1" applyBorder="1" applyProtection="1">
      <protection locked="0"/>
    </xf>
    <xf numFmtId="168" fontId="0" fillId="7" borderId="7" xfId="2" applyNumberFormat="1" applyFont="1" applyFill="1" applyBorder="1" applyProtection="1">
      <protection locked="0"/>
    </xf>
    <xf numFmtId="0" fontId="0" fillId="7" borderId="13" xfId="0" applyFont="1" applyFill="1" applyBorder="1" applyProtection="1">
      <protection locked="0"/>
    </xf>
  </cellXfs>
  <cellStyles count="4">
    <cellStyle name="Komma" xfId="1" builtinId="3"/>
    <cellStyle name="Link" xfId="3" builtinId="8"/>
    <cellStyle name="Prozent" xfId="2" builtinId="5"/>
    <cellStyle name="Standard" xfId="0" builtinId="0"/>
  </cellStyles>
  <dxfs count="64">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de-DE"/>
              <a:t>Lastgang</a:t>
            </a:r>
            <a:r>
              <a:rPr lang="de-DE" baseline="0"/>
              <a:t> Wärmebedarf</a:t>
            </a:r>
            <a:endParaRPr lang="de-DE"/>
          </a:p>
        </c:rich>
      </c:tx>
      <c:layout/>
      <c:overlay val="0"/>
    </c:title>
    <c:autoTitleDeleted val="0"/>
    <c:plotArea>
      <c:layout>
        <c:manualLayout>
          <c:layoutTarget val="inner"/>
          <c:xMode val="edge"/>
          <c:yMode val="edge"/>
          <c:x val="0.13159455352182331"/>
          <c:y val="0.18757972537613529"/>
          <c:w val="0.54771156456232506"/>
          <c:h val="0.5262712066905616"/>
        </c:manualLayout>
      </c:layout>
      <c:areaChart>
        <c:grouping val="standard"/>
        <c:varyColors val="0"/>
        <c:ser>
          <c:idx val="0"/>
          <c:order val="0"/>
          <c:tx>
            <c:strRef>
              <c:f>Berechnung_Diagramme!$Z$3</c:f>
              <c:strCache>
                <c:ptCount val="1"/>
                <c:pt idx="0">
                  <c:v>für Beheizung</c:v>
                </c:pt>
              </c:strCache>
            </c:strRef>
          </c:tx>
          <c:spPr>
            <a:solidFill>
              <a:srgbClr val="F79646">
                <a:lumMod val="75000"/>
              </a:srgbClr>
            </a:solidFill>
          </c:spPr>
          <c:cat>
            <c:strRef>
              <c:f>Berechnung_Diagramme!$X$5:$X$16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Berechnung_Diagramme!$Z$5:$Z$16</c:f>
              <c:numCache>
                <c:formatCode>#,##0.00</c:formatCode>
                <c:ptCount val="12"/>
                <c:pt idx="0">
                  <c:v>20.7</c:v>
                </c:pt>
                <c:pt idx="1">
                  <c:v>19.2303</c:v>
                </c:pt>
                <c:pt idx="2">
                  <c:v>15.5871</c:v>
                </c:pt>
                <c:pt idx="3">
                  <c:v>10.122299999999999</c:v>
                </c:pt>
                <c:pt idx="4">
                  <c:v>5.5682999999999998</c:v>
                </c:pt>
                <c:pt idx="5">
                  <c:v>2.0493000000000001</c:v>
                </c:pt>
                <c:pt idx="6">
                  <c:v>0</c:v>
                </c:pt>
                <c:pt idx="7">
                  <c:v>0.55889999999999995</c:v>
                </c:pt>
                <c:pt idx="8">
                  <c:v>4.8851999999999993</c:v>
                </c:pt>
                <c:pt idx="9">
                  <c:v>9.6669</c:v>
                </c:pt>
                <c:pt idx="10">
                  <c:v>14.779799999999998</c:v>
                </c:pt>
                <c:pt idx="11">
                  <c:v>19.002600000000001</c:v>
                </c:pt>
              </c:numCache>
            </c:numRef>
          </c:val>
        </c:ser>
        <c:ser>
          <c:idx val="1"/>
          <c:order val="1"/>
          <c:tx>
            <c:strRef>
              <c:f>Berechnung_Diagramme!$AA$3</c:f>
              <c:strCache>
                <c:ptCount val="1"/>
                <c:pt idx="0">
                  <c:v>für Warmwasserbereitung</c:v>
                </c:pt>
              </c:strCache>
            </c:strRef>
          </c:tx>
          <c:spPr>
            <a:solidFill>
              <a:srgbClr val="1F497D">
                <a:lumMod val="60000"/>
                <a:lumOff val="40000"/>
                <a:alpha val="70000"/>
              </a:srgbClr>
            </a:solidFill>
            <a:ln w="25400">
              <a:solidFill>
                <a:srgbClr val="1F497D">
                  <a:lumMod val="60000"/>
                  <a:lumOff val="40000"/>
                </a:srgbClr>
              </a:solidFill>
            </a:ln>
          </c:spPr>
          <c:cat>
            <c:strRef>
              <c:f>Berechnung_Diagramme!$X$5:$X$16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Berechnung_Diagramme!$AA$5:$AA$16</c:f>
              <c:numCache>
                <c:formatCode>#,##0.00</c:formatCode>
                <c:ptCount val="12"/>
                <c:pt idx="0">
                  <c:v>2.0699999999999998</c:v>
                </c:pt>
                <c:pt idx="1">
                  <c:v>2.0699999999999998</c:v>
                </c:pt>
                <c:pt idx="2">
                  <c:v>2.0699999999999998</c:v>
                </c:pt>
                <c:pt idx="3">
                  <c:v>2.0699999999999998</c:v>
                </c:pt>
                <c:pt idx="4">
                  <c:v>2.0699999999999998</c:v>
                </c:pt>
                <c:pt idx="5">
                  <c:v>2.0699999999999998</c:v>
                </c:pt>
                <c:pt idx="6">
                  <c:v>2.0699999999999998</c:v>
                </c:pt>
                <c:pt idx="7">
                  <c:v>2.0699999999999998</c:v>
                </c:pt>
                <c:pt idx="8">
                  <c:v>2.0699999999999998</c:v>
                </c:pt>
                <c:pt idx="9">
                  <c:v>2.0699999999999998</c:v>
                </c:pt>
                <c:pt idx="10">
                  <c:v>2.0699999999999998</c:v>
                </c:pt>
                <c:pt idx="11">
                  <c:v>2.0699999999999998</c:v>
                </c:pt>
              </c:numCache>
            </c:numRef>
          </c:val>
        </c:ser>
        <c:dLbls>
          <c:showLegendKey val="0"/>
          <c:showVal val="0"/>
          <c:showCatName val="0"/>
          <c:showSerName val="0"/>
          <c:showPercent val="0"/>
          <c:showBubbleSize val="0"/>
        </c:dLbls>
        <c:axId val="237927496"/>
        <c:axId val="237927888"/>
      </c:areaChart>
      <c:catAx>
        <c:axId val="237927496"/>
        <c:scaling>
          <c:orientation val="minMax"/>
        </c:scaling>
        <c:delete val="0"/>
        <c:axPos val="b"/>
        <c:title>
          <c:tx>
            <c:rich>
              <a:bodyPr/>
              <a:lstStyle/>
              <a:p>
                <a:pPr>
                  <a:defRPr sz="1100"/>
                </a:pPr>
                <a:r>
                  <a:rPr lang="en-US" sz="1100"/>
                  <a:t>Monat</a:t>
                </a:r>
              </a:p>
            </c:rich>
          </c:tx>
          <c:layout/>
          <c:overlay val="0"/>
        </c:title>
        <c:numFmt formatCode="General" sourceLinked="0"/>
        <c:majorTickMark val="out"/>
        <c:minorTickMark val="none"/>
        <c:tickLblPos val="nextTo"/>
        <c:crossAx val="237927888"/>
        <c:crosses val="autoZero"/>
        <c:auto val="1"/>
        <c:lblAlgn val="ctr"/>
        <c:lblOffset val="100"/>
        <c:noMultiLvlLbl val="0"/>
      </c:catAx>
      <c:valAx>
        <c:axId val="237927888"/>
        <c:scaling>
          <c:orientation val="minMax"/>
        </c:scaling>
        <c:delete val="0"/>
        <c:axPos val="l"/>
        <c:majorGridlines/>
        <c:title>
          <c:tx>
            <c:rich>
              <a:bodyPr rot="-5400000" vert="horz"/>
              <a:lstStyle/>
              <a:p>
                <a:pPr>
                  <a:defRPr sz="1200"/>
                </a:pPr>
                <a:r>
                  <a:rPr lang="de-DE" sz="1200"/>
                  <a:t>Leistung [kW]</a:t>
                </a:r>
              </a:p>
            </c:rich>
          </c:tx>
          <c:layout>
            <c:manualLayout>
              <c:xMode val="edge"/>
              <c:yMode val="edge"/>
              <c:x val="1.4451593550806149E-2"/>
              <c:y val="0.27109214401634912"/>
            </c:manualLayout>
          </c:layout>
          <c:overlay val="0"/>
        </c:title>
        <c:numFmt formatCode="#,##0" sourceLinked="0"/>
        <c:majorTickMark val="out"/>
        <c:minorTickMark val="none"/>
        <c:tickLblPos val="nextTo"/>
        <c:crossAx val="237927496"/>
        <c:crosses val="autoZero"/>
        <c:crossBetween val="midCat"/>
      </c:valAx>
    </c:plotArea>
    <c:legend>
      <c:legendPos val="r"/>
      <c:layout>
        <c:manualLayout>
          <c:xMode val="edge"/>
          <c:yMode val="edge"/>
          <c:x val="0.68509845880014186"/>
          <c:y val="0.18528897004467079"/>
          <c:w val="0.30168835195860461"/>
          <c:h val="0.23179906984424234"/>
        </c:manualLayout>
      </c:layout>
      <c:overlay val="0"/>
    </c:legend>
    <c:plotVisOnly val="1"/>
    <c:dispBlanksAs val="zero"/>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Gewinn - Kosten</a:t>
            </a:r>
          </a:p>
        </c:rich>
      </c:tx>
      <c:layout/>
      <c:overlay val="0"/>
    </c:title>
    <c:autoTitleDeleted val="0"/>
    <c:plotArea>
      <c:layout/>
      <c:barChart>
        <c:barDir val="col"/>
        <c:grouping val="clustered"/>
        <c:varyColors val="0"/>
        <c:ser>
          <c:idx val="0"/>
          <c:order val="0"/>
          <c:tx>
            <c:strRef>
              <c:f>Berechnung_Diagramme!$B$31</c:f>
              <c:strCache>
                <c:ptCount val="1"/>
                <c:pt idx="0">
                  <c:v>KWK-Zulage</c:v>
                </c:pt>
              </c:strCache>
            </c:strRef>
          </c:tx>
          <c:invertIfNegative val="0"/>
          <c:val>
            <c:numRef>
              <c:f>Berechnung_Diagramme!$C$31:$V$31</c:f>
              <c:numCache>
                <c:formatCode>0.0</c:formatCode>
                <c:ptCount val="20"/>
                <c:pt idx="0">
                  <c:v>2.9791705198945411</c:v>
                </c:pt>
                <c:pt idx="1">
                  <c:v>3.4745273948265591</c:v>
                </c:pt>
                <c:pt idx="2">
                  <c:v>3.8564638410842456</c:v>
                </c:pt>
                <c:pt idx="3">
                  <c:v>4.1523186407424388</c:v>
                </c:pt>
                <c:pt idx="4">
                  <c:v>4.4431132644910321</c:v>
                </c:pt>
                <c:pt idx="5">
                  <c:v>5.0340893328831449</c:v>
                </c:pt>
                <c:pt idx="6">
                  <c:v>5.4667122980354073</c:v>
                </c:pt>
                <c:pt idx="7">
                  <c:v>5.8719522361585454</c:v>
                </c:pt>
                <c:pt idx="8">
                  <c:v>6.3301073829195662</c:v>
                </c:pt>
                <c:pt idx="9">
                  <c:v>7.0479382036811797</c:v>
                </c:pt>
                <c:pt idx="10">
                  <c:v>8.0104781592741592</c:v>
                </c:pt>
                <c:pt idx="11">
                  <c:v>9.1951136899064263</c:v>
                </c:pt>
                <c:pt idx="12">
                  <c:v>10.13412318497355</c:v>
                </c:pt>
                <c:pt idx="13">
                  <c:v>11.146116226390461</c:v>
                </c:pt>
                <c:pt idx="14">
                  <c:v>12.245976875316941</c:v>
                </c:pt>
                <c:pt idx="15">
                  <c:v>13.451883825668515</c:v>
                </c:pt>
                <c:pt idx="16">
                  <c:v>16.625706160994788</c:v>
                </c:pt>
                <c:pt idx="17">
                  <c:v>20.017035580018156</c:v>
                </c:pt>
                <c:pt idx="18">
                  <c:v>23.116233446328785</c:v>
                </c:pt>
                <c:pt idx="19">
                  <c:v>26.012200844747674</c:v>
                </c:pt>
              </c:numCache>
            </c:numRef>
          </c:val>
        </c:ser>
        <c:ser>
          <c:idx val="1"/>
          <c:order val="1"/>
          <c:tx>
            <c:strRef>
              <c:f>Berechnung_Diagramme!$B$32</c:f>
              <c:strCache>
                <c:ptCount val="1"/>
                <c:pt idx="0">
                  <c:v>Energiesteuererleichterung</c:v>
                </c:pt>
              </c:strCache>
            </c:strRef>
          </c:tx>
          <c:invertIfNegative val="0"/>
          <c:val>
            <c:numRef>
              <c:f>Berechnung_Diagramme!$C$32:$V$32</c:f>
              <c:numCache>
                <c:formatCode>0.0</c:formatCode>
                <c:ptCount val="20"/>
                <c:pt idx="0">
                  <c:v>2.291666666666667</c:v>
                </c:pt>
                <c:pt idx="1">
                  <c:v>2.2680412371134024</c:v>
                </c:pt>
                <c:pt idx="2">
                  <c:v>2.2412827439254324</c:v>
                </c:pt>
                <c:pt idx="3">
                  <c:v>2.1727175075084757</c:v>
                </c:pt>
                <c:pt idx="4">
                  <c:v>2.1209819981999258</c:v>
                </c:pt>
                <c:pt idx="5">
                  <c:v>2.0796268113611864</c:v>
                </c:pt>
                <c:pt idx="6">
                  <c:v>2.0452912227730469</c:v>
                </c:pt>
                <c:pt idx="7">
                  <c:v>2.0160069470819098</c:v>
                </c:pt>
                <c:pt idx="8">
                  <c:v>1.9905246124203864</c:v>
                </c:pt>
                <c:pt idx="9">
                  <c:v>1.9680029402027726</c:v>
                </c:pt>
                <c:pt idx="10">
                  <c:v>1.9034955641066731</c:v>
                </c:pt>
                <c:pt idx="11">
                  <c:v>1.8864794974827612</c:v>
                </c:pt>
                <c:pt idx="12">
                  <c:v>1.8709605927032056</c:v>
                </c:pt>
                <c:pt idx="13">
                  <c:v>1.8567061712262196</c:v>
                </c:pt>
                <c:pt idx="14">
                  <c:v>1.8435332554855153</c:v>
                </c:pt>
                <c:pt idx="15">
                  <c:v>1.8312954314665357</c:v>
                </c:pt>
                <c:pt idx="16">
                  <c:v>1.8198737699189838</c:v>
                </c:pt>
                <c:pt idx="17">
                  <c:v>1.809170391899404</c:v>
                </c:pt>
                <c:pt idx="18">
                  <c:v>1.7991038070655041</c:v>
                </c:pt>
                <c:pt idx="19">
                  <c:v>1.7896054704183741</c:v>
                </c:pt>
              </c:numCache>
            </c:numRef>
          </c:val>
        </c:ser>
        <c:ser>
          <c:idx val="2"/>
          <c:order val="2"/>
          <c:tx>
            <c:strRef>
              <c:f>Berechnung_Diagramme!$B$33</c:f>
              <c:strCache>
                <c:ptCount val="1"/>
                <c:pt idx="0">
                  <c:v>Stromerlös durch Netzeinspeisung</c:v>
                </c:pt>
              </c:strCache>
            </c:strRef>
          </c:tx>
          <c:invertIfNegative val="0"/>
          <c:val>
            <c:numRef>
              <c:f>Berechnung_Diagramme!$C$33:$V$33</c:f>
              <c:numCache>
                <c:formatCode>0.0</c:formatCode>
                <c:ptCount val="20"/>
                <c:pt idx="0">
                  <c:v>1.4175</c:v>
                </c:pt>
                <c:pt idx="1">
                  <c:v>1.4175</c:v>
                </c:pt>
                <c:pt idx="2">
                  <c:v>1.4175</c:v>
                </c:pt>
                <c:pt idx="3">
                  <c:v>1.4175</c:v>
                </c:pt>
                <c:pt idx="4">
                  <c:v>1.4175</c:v>
                </c:pt>
                <c:pt idx="5">
                  <c:v>1.4175</c:v>
                </c:pt>
                <c:pt idx="6">
                  <c:v>1.4175</c:v>
                </c:pt>
                <c:pt idx="7">
                  <c:v>1.4175</c:v>
                </c:pt>
                <c:pt idx="8">
                  <c:v>1.4175</c:v>
                </c:pt>
                <c:pt idx="9">
                  <c:v>1.4175</c:v>
                </c:pt>
                <c:pt idx="10">
                  <c:v>1.4175</c:v>
                </c:pt>
                <c:pt idx="11">
                  <c:v>1.4175000000000002</c:v>
                </c:pt>
                <c:pt idx="12">
                  <c:v>1.4175</c:v>
                </c:pt>
                <c:pt idx="13">
                  <c:v>1.4175</c:v>
                </c:pt>
                <c:pt idx="14">
                  <c:v>1.4175</c:v>
                </c:pt>
                <c:pt idx="15">
                  <c:v>1.4175</c:v>
                </c:pt>
                <c:pt idx="16">
                  <c:v>1.4175</c:v>
                </c:pt>
                <c:pt idx="17">
                  <c:v>1.4175</c:v>
                </c:pt>
                <c:pt idx="18">
                  <c:v>1.4175</c:v>
                </c:pt>
                <c:pt idx="19">
                  <c:v>1.4175000000000002</c:v>
                </c:pt>
              </c:numCache>
            </c:numRef>
          </c:val>
        </c:ser>
        <c:ser>
          <c:idx val="3"/>
          <c:order val="3"/>
          <c:tx>
            <c:strRef>
              <c:f>Berechnung_Diagramme!$B$34</c:f>
              <c:strCache>
                <c:ptCount val="1"/>
                <c:pt idx="0">
                  <c:v>Stromerlös durch Eigenverbrauch</c:v>
                </c:pt>
              </c:strCache>
            </c:strRef>
          </c:tx>
          <c:invertIfNegative val="0"/>
          <c:val>
            <c:numRef>
              <c:f>Berechnung_Diagramme!$C$34:$V$34</c:f>
              <c:numCache>
                <c:formatCode>0.0</c:formatCode>
                <c:ptCount val="20"/>
                <c:pt idx="0">
                  <c:v>14.5</c:v>
                </c:pt>
                <c:pt idx="1">
                  <c:v>14.499999999999998</c:v>
                </c:pt>
                <c:pt idx="2">
                  <c:v>14.499999999999998</c:v>
                </c:pt>
                <c:pt idx="3">
                  <c:v>14.499999999999996</c:v>
                </c:pt>
                <c:pt idx="4">
                  <c:v>14.5</c:v>
                </c:pt>
                <c:pt idx="5">
                  <c:v>14.499999999999996</c:v>
                </c:pt>
                <c:pt idx="6">
                  <c:v>14.5</c:v>
                </c:pt>
                <c:pt idx="7">
                  <c:v>14.5</c:v>
                </c:pt>
                <c:pt idx="8">
                  <c:v>14.499999999999998</c:v>
                </c:pt>
                <c:pt idx="9">
                  <c:v>14.499999999999998</c:v>
                </c:pt>
                <c:pt idx="10">
                  <c:v>14.5</c:v>
                </c:pt>
                <c:pt idx="11">
                  <c:v>14.5</c:v>
                </c:pt>
                <c:pt idx="12">
                  <c:v>14.499999999999998</c:v>
                </c:pt>
                <c:pt idx="13">
                  <c:v>14.499999999999998</c:v>
                </c:pt>
                <c:pt idx="14">
                  <c:v>14.499999999999996</c:v>
                </c:pt>
                <c:pt idx="15">
                  <c:v>14.5</c:v>
                </c:pt>
                <c:pt idx="16">
                  <c:v>14.5</c:v>
                </c:pt>
                <c:pt idx="17">
                  <c:v>14.5</c:v>
                </c:pt>
                <c:pt idx="18">
                  <c:v>14.5</c:v>
                </c:pt>
                <c:pt idx="19">
                  <c:v>14.5</c:v>
                </c:pt>
              </c:numCache>
            </c:numRef>
          </c:val>
        </c:ser>
        <c:ser>
          <c:idx val="4"/>
          <c:order val="4"/>
          <c:tx>
            <c:strRef>
              <c:f>Berechnung_Diagramme!$B$35</c:f>
              <c:strCache>
                <c:ptCount val="1"/>
                <c:pt idx="0">
                  <c:v>vermiedene Netzentglete</c:v>
                </c:pt>
              </c:strCache>
            </c:strRef>
          </c:tx>
          <c:invertIfNegative val="0"/>
          <c:val>
            <c:numRef>
              <c:f>Berechnung_Diagramme!$C$35:$V$35</c:f>
              <c:numCache>
                <c:formatCode>0.0</c:formatCode>
                <c:ptCount val="20"/>
                <c:pt idx="0">
                  <c:v>0.49999999999999994</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numCache>
            </c:numRef>
          </c:val>
        </c:ser>
        <c:ser>
          <c:idx val="5"/>
          <c:order val="5"/>
          <c:tx>
            <c:strRef>
              <c:f>Berechnung_Diagramme!$B$36</c:f>
              <c:strCache>
                <c:ptCount val="1"/>
                <c:pt idx="0">
                  <c:v>Wärmegutschrift</c:v>
                </c:pt>
              </c:strCache>
            </c:strRef>
          </c:tx>
          <c:invertIfNegative val="0"/>
          <c:val>
            <c:numRef>
              <c:f>Berechnung_Diagramme!$C$36:$V$36</c:f>
              <c:numCache>
                <c:formatCode>0.0</c:formatCode>
                <c:ptCount val="20"/>
                <c:pt idx="0">
                  <c:v>10.200000000000001</c:v>
                </c:pt>
                <c:pt idx="1">
                  <c:v>10.057731958762888</c:v>
                </c:pt>
                <c:pt idx="2">
                  <c:v>9.8965971779655142</c:v>
                </c:pt>
                <c:pt idx="3">
                  <c:v>9.4837097906692236</c:v>
                </c:pt>
                <c:pt idx="4">
                  <c:v>9.1721679600693733</c:v>
                </c:pt>
                <c:pt idx="5">
                  <c:v>8.9231345440513632</c:v>
                </c:pt>
                <c:pt idx="6">
                  <c:v>8.7163718724078745</c:v>
                </c:pt>
                <c:pt idx="7">
                  <c:v>8.5400272886096129</c:v>
                </c:pt>
                <c:pt idx="8">
                  <c:v>8.3865773024296697</c:v>
                </c:pt>
                <c:pt idx="9">
                  <c:v>8.2509558871846966</c:v>
                </c:pt>
                <c:pt idx="10">
                  <c:v>7.8625041969478211</c:v>
                </c:pt>
                <c:pt idx="11">
                  <c:v>7.7600365375689195</c:v>
                </c:pt>
                <c:pt idx="12">
                  <c:v>7.6665845146054847</c:v>
                </c:pt>
                <c:pt idx="13">
                  <c:v>7.5807469801840712</c:v>
                </c:pt>
                <c:pt idx="14">
                  <c:v>7.5014220766691393</c:v>
                </c:pt>
                <c:pt idx="15">
                  <c:v>7.4277281254857579</c:v>
                </c:pt>
                <c:pt idx="16">
                  <c:v>7.3589489563121351</c:v>
                </c:pt>
                <c:pt idx="17">
                  <c:v>7.2944951599469574</c:v>
                </c:pt>
                <c:pt idx="18">
                  <c:v>7.2338760163653646</c:v>
                </c:pt>
                <c:pt idx="19">
                  <c:v>7.1766787600466442</c:v>
                </c:pt>
              </c:numCache>
            </c:numRef>
          </c:val>
        </c:ser>
        <c:ser>
          <c:idx val="7"/>
          <c:order val="6"/>
          <c:tx>
            <c:strRef>
              <c:f>Berechnung_Diagramme!$B$38</c:f>
              <c:strCache>
                <c:ptCount val="1"/>
                <c:pt idx="0">
                  <c:v>Brennstoffkosten</c:v>
                </c:pt>
              </c:strCache>
            </c:strRef>
          </c:tx>
          <c:invertIfNegative val="0"/>
          <c:val>
            <c:numRef>
              <c:f>Berechnung_Diagramme!$C$38:$V$38</c:f>
              <c:numCache>
                <c:formatCode>#,##0.0</c:formatCode>
                <c:ptCount val="20"/>
                <c:pt idx="0">
                  <c:v>-18.45</c:v>
                </c:pt>
                <c:pt idx="1">
                  <c:v>-16.494845360824744</c:v>
                </c:pt>
                <c:pt idx="2">
                  <c:v>-16.300238137639507</c:v>
                </c:pt>
                <c:pt idx="3">
                  <c:v>-15.801581872788914</c:v>
                </c:pt>
                <c:pt idx="4">
                  <c:v>-15.425323623272186</c:v>
                </c:pt>
                <c:pt idx="5">
                  <c:v>-15.124558628081354</c:v>
                </c:pt>
                <c:pt idx="6">
                  <c:v>-14.874845256531248</c:v>
                </c:pt>
                <c:pt idx="7">
                  <c:v>-14.661868706050251</c:v>
                </c:pt>
                <c:pt idx="8">
                  <c:v>-14.476542635784627</c:v>
                </c:pt>
                <c:pt idx="9">
                  <c:v>-14.312748656020165</c:v>
                </c:pt>
                <c:pt idx="10">
                  <c:v>-13.843604102593984</c:v>
                </c:pt>
                <c:pt idx="11">
                  <c:v>-13.719850890783718</c:v>
                </c:pt>
                <c:pt idx="12">
                  <c:v>-13.606986128750584</c:v>
                </c:pt>
                <c:pt idx="13">
                  <c:v>-13.503317608917959</c:v>
                </c:pt>
                <c:pt idx="14">
                  <c:v>-13.407514585349201</c:v>
                </c:pt>
                <c:pt idx="15">
                  <c:v>-13.318512228847533</c:v>
                </c:pt>
                <c:pt idx="16">
                  <c:v>-13.235445599410788</c:v>
                </c:pt>
                <c:pt idx="17">
                  <c:v>-13.157602850177483</c:v>
                </c:pt>
                <c:pt idx="18">
                  <c:v>-13.084391324112758</c:v>
                </c:pt>
                <c:pt idx="19">
                  <c:v>-13.015312512133628</c:v>
                </c:pt>
              </c:numCache>
            </c:numRef>
          </c:val>
        </c:ser>
        <c:ser>
          <c:idx val="8"/>
          <c:order val="7"/>
          <c:tx>
            <c:strRef>
              <c:f>Berechnung_Diagramme!$B$39</c:f>
              <c:strCache>
                <c:ptCount val="1"/>
                <c:pt idx="0">
                  <c:v>Wartungskosten</c:v>
                </c:pt>
              </c:strCache>
            </c:strRef>
          </c:tx>
          <c:invertIfNegative val="0"/>
          <c:val>
            <c:numRef>
              <c:f>Berechnung_Diagramme!$C$39:$V$39</c:f>
              <c:numCache>
                <c:formatCode>#,##0.0</c:formatCode>
                <c:ptCount val="20"/>
                <c:pt idx="0">
                  <c:v>-8</c:v>
                </c:pt>
                <c:pt idx="1">
                  <c:v>-5.60563413714923</c:v>
                </c:pt>
                <c:pt idx="2">
                  <c:v>-5.0652622378317815</c:v>
                </c:pt>
                <c:pt idx="3">
                  <c:v>-4.7137576511526378</c:v>
                </c:pt>
                <c:pt idx="4">
                  <c:v>-4.4579967454521228</c:v>
                </c:pt>
                <c:pt idx="5">
                  <c:v>-4.2593608581127533</c:v>
                </c:pt>
                <c:pt idx="6">
                  <c:v>-4.0983376724928933</c:v>
                </c:pt>
                <c:pt idx="7">
                  <c:v>-3.9637819112290225</c:v>
                </c:pt>
                <c:pt idx="8">
                  <c:v>-3.8487670054880363</c:v>
                </c:pt>
                <c:pt idx="9">
                  <c:v>-3.7487134824634158</c:v>
                </c:pt>
                <c:pt idx="10">
                  <c:v>-3.6604466109761247</c:v>
                </c:pt>
                <c:pt idx="11">
                  <c:v>-3.5816812768590025</c:v>
                </c:pt>
                <c:pt idx="12">
                  <c:v>-3.5107217518951219</c:v>
                </c:pt>
                <c:pt idx="13">
                  <c:v>-3.4462774572985313</c:v>
                </c:pt>
                <c:pt idx="14">
                  <c:v>-3.3873450137131838</c:v>
                </c:pt>
                <c:pt idx="15">
                  <c:v>-3.3331300000000001</c:v>
                </c:pt>
                <c:pt idx="16">
                  <c:v>-3.2829934618850745</c:v>
                </c:pt>
                <c:pt idx="17">
                  <c:v>-3.2364143780616592</c:v>
                </c:pt>
                <c:pt idx="18">
                  <c:v>-3.1929627203494864</c:v>
                </c:pt>
                <c:pt idx="19">
                  <c:v>-3.1522797292167564</c:v>
                </c:pt>
              </c:numCache>
            </c:numRef>
          </c:val>
        </c:ser>
        <c:ser>
          <c:idx val="9"/>
          <c:order val="8"/>
          <c:tx>
            <c:strRef>
              <c:f>Berechnung_Diagramme!$B$40</c:f>
              <c:strCache>
                <c:ptCount val="1"/>
                <c:pt idx="0">
                  <c:v>EEG Abgabe</c:v>
                </c:pt>
              </c:strCache>
            </c:strRef>
          </c:tx>
          <c:invertIfNegative val="0"/>
          <c:val>
            <c:numRef>
              <c:f>Berechnung_Diagramme!$C$40:$V$40</c:f>
              <c:numCache>
                <c:formatCode>#,##0.0</c:formatCode>
                <c:ptCount val="20"/>
                <c:pt idx="0">
                  <c:v>0</c:v>
                </c:pt>
                <c:pt idx="1">
                  <c:v>0</c:v>
                </c:pt>
                <c:pt idx="2">
                  <c:v>0</c:v>
                </c:pt>
                <c:pt idx="3">
                  <c:v>-0.17147363986343936</c:v>
                </c:pt>
                <c:pt idx="4">
                  <c:v>-0.32974861058079952</c:v>
                </c:pt>
                <c:pt idx="5">
                  <c:v>-0.38228323274612508</c:v>
                </c:pt>
                <c:pt idx="6">
                  <c:v>-0.44376452519721488</c:v>
                </c:pt>
                <c:pt idx="7">
                  <c:v>-0.49350032273851269</c:v>
                </c:pt>
                <c:pt idx="8">
                  <c:v>-0.52595736460979781</c:v>
                </c:pt>
                <c:pt idx="9">
                  <c:v>-1.2708000000000002</c:v>
                </c:pt>
                <c:pt idx="10">
                  <c:v>-1.2708000000000002</c:v>
                </c:pt>
                <c:pt idx="11">
                  <c:v>-1.2708000000000002</c:v>
                </c:pt>
                <c:pt idx="12">
                  <c:v>-1.2708000000000002</c:v>
                </c:pt>
                <c:pt idx="13">
                  <c:v>-1.2708000000000002</c:v>
                </c:pt>
                <c:pt idx="14">
                  <c:v>-1.2708000000000002</c:v>
                </c:pt>
                <c:pt idx="15">
                  <c:v>-1.2708000000000002</c:v>
                </c:pt>
                <c:pt idx="16">
                  <c:v>-1.2708000000000004</c:v>
                </c:pt>
                <c:pt idx="17">
                  <c:v>-1.2708000000000002</c:v>
                </c:pt>
                <c:pt idx="18">
                  <c:v>-1.2708000000000002</c:v>
                </c:pt>
                <c:pt idx="19">
                  <c:v>-1.2708000000000002</c:v>
                </c:pt>
              </c:numCache>
            </c:numRef>
          </c:val>
        </c:ser>
        <c:dLbls>
          <c:showLegendKey val="0"/>
          <c:showVal val="0"/>
          <c:showCatName val="0"/>
          <c:showSerName val="0"/>
          <c:showPercent val="0"/>
          <c:showBubbleSize val="0"/>
        </c:dLbls>
        <c:gapWidth val="150"/>
        <c:axId val="240276440"/>
        <c:axId val="240276832"/>
      </c:barChart>
      <c:catAx>
        <c:axId val="240276440"/>
        <c:scaling>
          <c:orientation val="minMax"/>
        </c:scaling>
        <c:delete val="0"/>
        <c:axPos val="b"/>
        <c:title>
          <c:tx>
            <c:rich>
              <a:bodyPr/>
              <a:lstStyle/>
              <a:p>
                <a:pPr>
                  <a:defRPr sz="1200"/>
                </a:pPr>
                <a:r>
                  <a:rPr lang="de-DE" sz="1200"/>
                  <a:t>kW</a:t>
                </a:r>
              </a:p>
            </c:rich>
          </c:tx>
          <c:layout/>
          <c:overlay val="0"/>
        </c:title>
        <c:majorTickMark val="out"/>
        <c:minorTickMark val="none"/>
        <c:tickLblPos val="nextTo"/>
        <c:crossAx val="240276832"/>
        <c:crosses val="autoZero"/>
        <c:auto val="1"/>
        <c:lblAlgn val="ctr"/>
        <c:lblOffset val="100"/>
        <c:noMultiLvlLbl val="0"/>
      </c:catAx>
      <c:valAx>
        <c:axId val="240276832"/>
        <c:scaling>
          <c:orientation val="minMax"/>
        </c:scaling>
        <c:delete val="0"/>
        <c:axPos val="l"/>
        <c:majorGridlines/>
        <c:title>
          <c:tx>
            <c:rich>
              <a:bodyPr rot="-5400000" vert="horz"/>
              <a:lstStyle/>
              <a:p>
                <a:pPr>
                  <a:defRPr sz="1200"/>
                </a:pPr>
                <a:r>
                  <a:rPr lang="de-DE" sz="1200"/>
                  <a:t>ct</a:t>
                </a:r>
                <a:r>
                  <a:rPr lang="de-DE" sz="1200" baseline="0"/>
                  <a:t> / kWhel</a:t>
                </a:r>
                <a:endParaRPr lang="de-DE" sz="1200"/>
              </a:p>
            </c:rich>
          </c:tx>
          <c:layout>
            <c:manualLayout>
              <c:xMode val="edge"/>
              <c:yMode val="edge"/>
              <c:x val="7.620358001479019E-3"/>
              <c:y val="0.45357130930317258"/>
            </c:manualLayout>
          </c:layout>
          <c:overlay val="0"/>
        </c:title>
        <c:numFmt formatCode="#,##0.0" sourceLinked="0"/>
        <c:majorTickMark val="out"/>
        <c:minorTickMark val="none"/>
        <c:tickLblPos val="nextTo"/>
        <c:crossAx val="240276440"/>
        <c:crosses val="autoZero"/>
        <c:crossBetween val="between"/>
      </c:valAx>
    </c:plotArea>
    <c:legend>
      <c:legendPos val="r"/>
      <c:layout/>
      <c:overlay val="0"/>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Jahresdauerlinie</a:t>
            </a:r>
            <a:r>
              <a:rPr lang="en-US" baseline="0"/>
              <a:t> Wärmebedarf</a:t>
            </a:r>
            <a:endParaRPr lang="en-US"/>
          </a:p>
        </c:rich>
      </c:tx>
      <c:layout/>
      <c:overlay val="0"/>
    </c:title>
    <c:autoTitleDeleted val="0"/>
    <c:plotArea>
      <c:layout>
        <c:manualLayout>
          <c:layoutTarget val="inner"/>
          <c:xMode val="edge"/>
          <c:yMode val="edge"/>
          <c:x val="0.1387592095814445"/>
          <c:y val="0.19569579076180368"/>
          <c:w val="0.63600872258674934"/>
          <c:h val="0.52425298685782551"/>
        </c:manualLayout>
      </c:layout>
      <c:areaChart>
        <c:grouping val="standard"/>
        <c:varyColors val="0"/>
        <c:ser>
          <c:idx val="0"/>
          <c:order val="0"/>
          <c:tx>
            <c:v>Wärmebedarf</c:v>
          </c:tx>
          <c:spPr>
            <a:solidFill>
              <a:srgbClr val="F79646">
                <a:lumMod val="75000"/>
              </a:srgbClr>
            </a:solidFill>
            <a:ln>
              <a:noFill/>
            </a:ln>
          </c:spPr>
          <c:cat>
            <c:numRef>
              <c:f>Berechnungen_Lastgang!$B$5:$B$125</c:f>
              <c:numCache>
                <c:formatCode>General</c:formatCode>
                <c:ptCount val="121"/>
                <c:pt idx="0">
                  <c:v>0</c:v>
                </c:pt>
                <c:pt idx="1">
                  <c:v>73</c:v>
                </c:pt>
                <c:pt idx="2">
                  <c:v>146</c:v>
                </c:pt>
                <c:pt idx="3">
                  <c:v>219</c:v>
                </c:pt>
                <c:pt idx="4">
                  <c:v>292</c:v>
                </c:pt>
                <c:pt idx="5">
                  <c:v>365</c:v>
                </c:pt>
                <c:pt idx="6">
                  <c:v>438</c:v>
                </c:pt>
                <c:pt idx="7">
                  <c:v>511</c:v>
                </c:pt>
                <c:pt idx="8">
                  <c:v>584</c:v>
                </c:pt>
                <c:pt idx="9">
                  <c:v>657</c:v>
                </c:pt>
                <c:pt idx="10">
                  <c:v>730</c:v>
                </c:pt>
                <c:pt idx="11">
                  <c:v>803</c:v>
                </c:pt>
                <c:pt idx="12">
                  <c:v>876</c:v>
                </c:pt>
                <c:pt idx="13">
                  <c:v>949</c:v>
                </c:pt>
                <c:pt idx="14">
                  <c:v>1022</c:v>
                </c:pt>
                <c:pt idx="15">
                  <c:v>1095</c:v>
                </c:pt>
                <c:pt idx="16">
                  <c:v>1168</c:v>
                </c:pt>
                <c:pt idx="17">
                  <c:v>1241</c:v>
                </c:pt>
                <c:pt idx="18">
                  <c:v>1314</c:v>
                </c:pt>
                <c:pt idx="19">
                  <c:v>1387</c:v>
                </c:pt>
                <c:pt idx="20">
                  <c:v>1460</c:v>
                </c:pt>
                <c:pt idx="21">
                  <c:v>1533</c:v>
                </c:pt>
                <c:pt idx="22">
                  <c:v>1606</c:v>
                </c:pt>
                <c:pt idx="23">
                  <c:v>1679</c:v>
                </c:pt>
                <c:pt idx="24">
                  <c:v>1752</c:v>
                </c:pt>
                <c:pt idx="25">
                  <c:v>1825</c:v>
                </c:pt>
                <c:pt idx="26">
                  <c:v>1898</c:v>
                </c:pt>
                <c:pt idx="27">
                  <c:v>1971</c:v>
                </c:pt>
                <c:pt idx="28">
                  <c:v>2044</c:v>
                </c:pt>
                <c:pt idx="29">
                  <c:v>2117</c:v>
                </c:pt>
                <c:pt idx="30">
                  <c:v>2190</c:v>
                </c:pt>
                <c:pt idx="31">
                  <c:v>2263</c:v>
                </c:pt>
                <c:pt idx="32">
                  <c:v>2336</c:v>
                </c:pt>
                <c:pt idx="33">
                  <c:v>2409</c:v>
                </c:pt>
                <c:pt idx="34">
                  <c:v>2482</c:v>
                </c:pt>
                <c:pt idx="35">
                  <c:v>2555</c:v>
                </c:pt>
                <c:pt idx="36">
                  <c:v>2628</c:v>
                </c:pt>
                <c:pt idx="37">
                  <c:v>2701</c:v>
                </c:pt>
                <c:pt idx="38">
                  <c:v>2774</c:v>
                </c:pt>
                <c:pt idx="39">
                  <c:v>2847</c:v>
                </c:pt>
                <c:pt idx="40">
                  <c:v>2920</c:v>
                </c:pt>
                <c:pt idx="41">
                  <c:v>2993</c:v>
                </c:pt>
                <c:pt idx="42">
                  <c:v>3066</c:v>
                </c:pt>
                <c:pt idx="43">
                  <c:v>3139</c:v>
                </c:pt>
                <c:pt idx="44">
                  <c:v>3212</c:v>
                </c:pt>
                <c:pt idx="45">
                  <c:v>3285</c:v>
                </c:pt>
                <c:pt idx="46">
                  <c:v>3358</c:v>
                </c:pt>
                <c:pt idx="47">
                  <c:v>3431</c:v>
                </c:pt>
                <c:pt idx="48">
                  <c:v>3504</c:v>
                </c:pt>
                <c:pt idx="49">
                  <c:v>3577</c:v>
                </c:pt>
                <c:pt idx="50">
                  <c:v>3650</c:v>
                </c:pt>
                <c:pt idx="51">
                  <c:v>3723</c:v>
                </c:pt>
                <c:pt idx="52">
                  <c:v>3796</c:v>
                </c:pt>
                <c:pt idx="53">
                  <c:v>3869</c:v>
                </c:pt>
                <c:pt idx="54">
                  <c:v>3942</c:v>
                </c:pt>
                <c:pt idx="55">
                  <c:v>4015</c:v>
                </c:pt>
                <c:pt idx="56">
                  <c:v>4088</c:v>
                </c:pt>
                <c:pt idx="57">
                  <c:v>4161</c:v>
                </c:pt>
                <c:pt idx="58">
                  <c:v>4234</c:v>
                </c:pt>
                <c:pt idx="59">
                  <c:v>4307</c:v>
                </c:pt>
                <c:pt idx="60">
                  <c:v>4380</c:v>
                </c:pt>
                <c:pt idx="61">
                  <c:v>4453</c:v>
                </c:pt>
                <c:pt idx="62">
                  <c:v>4526</c:v>
                </c:pt>
                <c:pt idx="63">
                  <c:v>4599</c:v>
                </c:pt>
                <c:pt idx="64">
                  <c:v>4672</c:v>
                </c:pt>
                <c:pt idx="65">
                  <c:v>4745</c:v>
                </c:pt>
                <c:pt idx="66">
                  <c:v>4818</c:v>
                </c:pt>
                <c:pt idx="67">
                  <c:v>4891</c:v>
                </c:pt>
                <c:pt idx="68">
                  <c:v>4964</c:v>
                </c:pt>
                <c:pt idx="69">
                  <c:v>5037</c:v>
                </c:pt>
                <c:pt idx="70">
                  <c:v>5110</c:v>
                </c:pt>
                <c:pt idx="71">
                  <c:v>5183</c:v>
                </c:pt>
                <c:pt idx="72">
                  <c:v>5256</c:v>
                </c:pt>
                <c:pt idx="73">
                  <c:v>5329</c:v>
                </c:pt>
                <c:pt idx="74">
                  <c:v>5402</c:v>
                </c:pt>
                <c:pt idx="75">
                  <c:v>5475</c:v>
                </c:pt>
                <c:pt idx="76">
                  <c:v>5548</c:v>
                </c:pt>
                <c:pt idx="77">
                  <c:v>5621</c:v>
                </c:pt>
                <c:pt idx="78">
                  <c:v>5694</c:v>
                </c:pt>
                <c:pt idx="79">
                  <c:v>5767</c:v>
                </c:pt>
                <c:pt idx="80">
                  <c:v>5840</c:v>
                </c:pt>
                <c:pt idx="81">
                  <c:v>5913</c:v>
                </c:pt>
                <c:pt idx="82">
                  <c:v>5986</c:v>
                </c:pt>
                <c:pt idx="83">
                  <c:v>6059</c:v>
                </c:pt>
                <c:pt idx="84">
                  <c:v>6132</c:v>
                </c:pt>
                <c:pt idx="85">
                  <c:v>6205</c:v>
                </c:pt>
                <c:pt idx="86">
                  <c:v>6278</c:v>
                </c:pt>
                <c:pt idx="87">
                  <c:v>6351</c:v>
                </c:pt>
                <c:pt idx="88">
                  <c:v>6424</c:v>
                </c:pt>
                <c:pt idx="89">
                  <c:v>6497</c:v>
                </c:pt>
                <c:pt idx="90">
                  <c:v>6570</c:v>
                </c:pt>
                <c:pt idx="91">
                  <c:v>6643</c:v>
                </c:pt>
                <c:pt idx="92">
                  <c:v>6716</c:v>
                </c:pt>
                <c:pt idx="93">
                  <c:v>6789</c:v>
                </c:pt>
                <c:pt idx="94">
                  <c:v>6862</c:v>
                </c:pt>
                <c:pt idx="95">
                  <c:v>6935</c:v>
                </c:pt>
                <c:pt idx="96">
                  <c:v>7008</c:v>
                </c:pt>
                <c:pt idx="97">
                  <c:v>7081</c:v>
                </c:pt>
                <c:pt idx="98">
                  <c:v>7154</c:v>
                </c:pt>
                <c:pt idx="99">
                  <c:v>7227</c:v>
                </c:pt>
                <c:pt idx="100">
                  <c:v>7300</c:v>
                </c:pt>
                <c:pt idx="101">
                  <c:v>7373</c:v>
                </c:pt>
                <c:pt idx="102">
                  <c:v>7446</c:v>
                </c:pt>
                <c:pt idx="103">
                  <c:v>7519</c:v>
                </c:pt>
                <c:pt idx="104">
                  <c:v>7592</c:v>
                </c:pt>
                <c:pt idx="105">
                  <c:v>7665</c:v>
                </c:pt>
                <c:pt idx="106">
                  <c:v>7738</c:v>
                </c:pt>
                <c:pt idx="107">
                  <c:v>7811</c:v>
                </c:pt>
                <c:pt idx="108">
                  <c:v>7884</c:v>
                </c:pt>
                <c:pt idx="109">
                  <c:v>7957</c:v>
                </c:pt>
                <c:pt idx="110">
                  <c:v>8030</c:v>
                </c:pt>
                <c:pt idx="111">
                  <c:v>8103</c:v>
                </c:pt>
                <c:pt idx="112">
                  <c:v>8176</c:v>
                </c:pt>
                <c:pt idx="113">
                  <c:v>8249</c:v>
                </c:pt>
                <c:pt idx="114">
                  <c:v>8322</c:v>
                </c:pt>
                <c:pt idx="115">
                  <c:v>8395</c:v>
                </c:pt>
                <c:pt idx="116">
                  <c:v>8468</c:v>
                </c:pt>
                <c:pt idx="117">
                  <c:v>8541</c:v>
                </c:pt>
                <c:pt idx="118">
                  <c:v>8614</c:v>
                </c:pt>
                <c:pt idx="119">
                  <c:v>8687</c:v>
                </c:pt>
                <c:pt idx="120">
                  <c:v>8760</c:v>
                </c:pt>
              </c:numCache>
            </c:numRef>
          </c:cat>
          <c:val>
            <c:numRef>
              <c:f>Berechnungen_Lastgang!$C$5:$C$125</c:f>
              <c:numCache>
                <c:formatCode>0.00</c:formatCode>
                <c:ptCount val="121"/>
                <c:pt idx="0">
                  <c:v>22.77</c:v>
                </c:pt>
                <c:pt idx="1">
                  <c:v>22.62303</c:v>
                </c:pt>
                <c:pt idx="2">
                  <c:v>22.47606</c:v>
                </c:pt>
                <c:pt idx="3">
                  <c:v>22.329090000000001</c:v>
                </c:pt>
                <c:pt idx="4">
                  <c:v>22.182120000000001</c:v>
                </c:pt>
                <c:pt idx="5">
                  <c:v>22.035150000000002</c:v>
                </c:pt>
                <c:pt idx="6">
                  <c:v>21.888180000000002</c:v>
                </c:pt>
                <c:pt idx="7">
                  <c:v>21.741210000000002</c:v>
                </c:pt>
                <c:pt idx="8">
                  <c:v>21.594240000000003</c:v>
                </c:pt>
                <c:pt idx="9">
                  <c:v>21.447270000000003</c:v>
                </c:pt>
                <c:pt idx="10">
                  <c:v>21.3003</c:v>
                </c:pt>
                <c:pt idx="11">
                  <c:v>21.277529999999999</c:v>
                </c:pt>
                <c:pt idx="12">
                  <c:v>21.254759999999997</c:v>
                </c:pt>
                <c:pt idx="13">
                  <c:v>21.23199</c:v>
                </c:pt>
                <c:pt idx="14">
                  <c:v>21.209220000000002</c:v>
                </c:pt>
                <c:pt idx="15">
                  <c:v>21.186450000000001</c:v>
                </c:pt>
                <c:pt idx="16">
                  <c:v>21.163679999999999</c:v>
                </c:pt>
                <c:pt idx="17">
                  <c:v>21.140909999999998</c:v>
                </c:pt>
                <c:pt idx="18">
                  <c:v>21.11814</c:v>
                </c:pt>
                <c:pt idx="19">
                  <c:v>21.095370000000003</c:v>
                </c:pt>
                <c:pt idx="20">
                  <c:v>21.072600000000001</c:v>
                </c:pt>
                <c:pt idx="21">
                  <c:v>20.73105</c:v>
                </c:pt>
                <c:pt idx="22">
                  <c:v>20.389499999999998</c:v>
                </c:pt>
                <c:pt idx="23">
                  <c:v>20.04795</c:v>
                </c:pt>
                <c:pt idx="24">
                  <c:v>19.706400000000002</c:v>
                </c:pt>
                <c:pt idx="25">
                  <c:v>19.364850000000001</c:v>
                </c:pt>
                <c:pt idx="26">
                  <c:v>19.023299999999999</c:v>
                </c:pt>
                <c:pt idx="27">
                  <c:v>18.681750000000001</c:v>
                </c:pt>
                <c:pt idx="28">
                  <c:v>18.340199999999999</c:v>
                </c:pt>
                <c:pt idx="29">
                  <c:v>17.998649999999998</c:v>
                </c:pt>
                <c:pt idx="30">
                  <c:v>17.6571</c:v>
                </c:pt>
                <c:pt idx="31">
                  <c:v>17.576370000000001</c:v>
                </c:pt>
                <c:pt idx="32">
                  <c:v>17.495640000000002</c:v>
                </c:pt>
                <c:pt idx="33">
                  <c:v>17.414910000000003</c:v>
                </c:pt>
                <c:pt idx="34">
                  <c:v>17.334180000000003</c:v>
                </c:pt>
                <c:pt idx="35">
                  <c:v>17.253450000000001</c:v>
                </c:pt>
                <c:pt idx="36">
                  <c:v>17.172720000000002</c:v>
                </c:pt>
                <c:pt idx="37">
                  <c:v>17.091990000000003</c:v>
                </c:pt>
                <c:pt idx="38">
                  <c:v>17.01126</c:v>
                </c:pt>
                <c:pt idx="39">
                  <c:v>16.930529999999997</c:v>
                </c:pt>
                <c:pt idx="40">
                  <c:v>16.849799999999998</c:v>
                </c:pt>
                <c:pt idx="41">
                  <c:v>16.384049999999998</c:v>
                </c:pt>
                <c:pt idx="42">
                  <c:v>15.918299999999999</c:v>
                </c:pt>
                <c:pt idx="43">
                  <c:v>15.452549999999999</c:v>
                </c:pt>
                <c:pt idx="44">
                  <c:v>14.986799999999999</c:v>
                </c:pt>
                <c:pt idx="45">
                  <c:v>14.521049999999999</c:v>
                </c:pt>
                <c:pt idx="46">
                  <c:v>14.055299999999999</c:v>
                </c:pt>
                <c:pt idx="47">
                  <c:v>13.589549999999999</c:v>
                </c:pt>
                <c:pt idx="48">
                  <c:v>13.123799999999999</c:v>
                </c:pt>
                <c:pt idx="49">
                  <c:v>12.658049999999999</c:v>
                </c:pt>
                <c:pt idx="50">
                  <c:v>12.192299999999999</c:v>
                </c:pt>
                <c:pt idx="51">
                  <c:v>12.14676</c:v>
                </c:pt>
                <c:pt idx="52">
                  <c:v>12.101220000000001</c:v>
                </c:pt>
                <c:pt idx="53">
                  <c:v>12.055680000000001</c:v>
                </c:pt>
                <c:pt idx="54">
                  <c:v>12.01014</c:v>
                </c:pt>
                <c:pt idx="55">
                  <c:v>11.964600000000001</c:v>
                </c:pt>
                <c:pt idx="56">
                  <c:v>11.91906</c:v>
                </c:pt>
                <c:pt idx="57">
                  <c:v>11.873519999999999</c:v>
                </c:pt>
                <c:pt idx="58">
                  <c:v>11.82798</c:v>
                </c:pt>
                <c:pt idx="59">
                  <c:v>11.782440000000001</c:v>
                </c:pt>
                <c:pt idx="60">
                  <c:v>11.7369</c:v>
                </c:pt>
                <c:pt idx="61">
                  <c:v>11.32704</c:v>
                </c:pt>
                <c:pt idx="62">
                  <c:v>10.91718</c:v>
                </c:pt>
                <c:pt idx="63">
                  <c:v>10.50732</c:v>
                </c:pt>
                <c:pt idx="64">
                  <c:v>10.09746</c:v>
                </c:pt>
                <c:pt idx="65">
                  <c:v>9.6875999999999998</c:v>
                </c:pt>
                <c:pt idx="66">
                  <c:v>9.2777399999999997</c:v>
                </c:pt>
                <c:pt idx="67">
                  <c:v>8.8678799999999995</c:v>
                </c:pt>
                <c:pt idx="68">
                  <c:v>8.4580199999999994</c:v>
                </c:pt>
                <c:pt idx="69">
                  <c:v>8.0481599999999993</c:v>
                </c:pt>
                <c:pt idx="70">
                  <c:v>7.6382999999999992</c:v>
                </c:pt>
                <c:pt idx="71">
                  <c:v>7.5699899999999989</c:v>
                </c:pt>
                <c:pt idx="72">
                  <c:v>7.5016799999999986</c:v>
                </c:pt>
                <c:pt idx="73">
                  <c:v>7.4333699999999991</c:v>
                </c:pt>
                <c:pt idx="74">
                  <c:v>7.3650599999999997</c:v>
                </c:pt>
                <c:pt idx="75">
                  <c:v>7.2967499999999994</c:v>
                </c:pt>
                <c:pt idx="76">
                  <c:v>7.2284399999999991</c:v>
                </c:pt>
                <c:pt idx="77">
                  <c:v>7.1601299999999988</c:v>
                </c:pt>
                <c:pt idx="78">
                  <c:v>7.0918199999999993</c:v>
                </c:pt>
                <c:pt idx="79">
                  <c:v>7.0235099999999999</c:v>
                </c:pt>
                <c:pt idx="80">
                  <c:v>6.9551999999999996</c:v>
                </c:pt>
                <c:pt idx="81">
                  <c:v>6.6716099999999994</c:v>
                </c:pt>
                <c:pt idx="82">
                  <c:v>6.3880199999999991</c:v>
                </c:pt>
                <c:pt idx="83">
                  <c:v>6.1044299999999998</c:v>
                </c:pt>
                <c:pt idx="84">
                  <c:v>5.8208400000000005</c:v>
                </c:pt>
                <c:pt idx="85">
                  <c:v>5.5372500000000002</c:v>
                </c:pt>
                <c:pt idx="86">
                  <c:v>5.25366</c:v>
                </c:pt>
                <c:pt idx="87">
                  <c:v>4.9700699999999998</c:v>
                </c:pt>
                <c:pt idx="88">
                  <c:v>4.6864799999999995</c:v>
                </c:pt>
                <c:pt idx="89">
                  <c:v>4.4028899999999993</c:v>
                </c:pt>
                <c:pt idx="90">
                  <c:v>4.1193</c:v>
                </c:pt>
                <c:pt idx="91">
                  <c:v>3.9702600000000001</c:v>
                </c:pt>
                <c:pt idx="92">
                  <c:v>3.8212200000000003</c:v>
                </c:pt>
                <c:pt idx="93">
                  <c:v>3.67218</c:v>
                </c:pt>
                <c:pt idx="94">
                  <c:v>3.5231400000000002</c:v>
                </c:pt>
                <c:pt idx="95">
                  <c:v>3.3740999999999999</c:v>
                </c:pt>
                <c:pt idx="96">
                  <c:v>3.22506</c:v>
                </c:pt>
                <c:pt idx="97">
                  <c:v>3.0760200000000002</c:v>
                </c:pt>
                <c:pt idx="98">
                  <c:v>2.9269799999999999</c:v>
                </c:pt>
                <c:pt idx="99">
                  <c:v>2.7779400000000001</c:v>
                </c:pt>
                <c:pt idx="100">
                  <c:v>2.6288999999999998</c:v>
                </c:pt>
                <c:pt idx="101">
                  <c:v>2.57301</c:v>
                </c:pt>
                <c:pt idx="102">
                  <c:v>2.5171200000000002</c:v>
                </c:pt>
                <c:pt idx="103">
                  <c:v>2.46123</c:v>
                </c:pt>
                <c:pt idx="104">
                  <c:v>2.4053399999999998</c:v>
                </c:pt>
                <c:pt idx="105">
                  <c:v>2.34945</c:v>
                </c:pt>
                <c:pt idx="106">
                  <c:v>2.2935599999999998</c:v>
                </c:pt>
                <c:pt idx="107">
                  <c:v>2.2376699999999996</c:v>
                </c:pt>
                <c:pt idx="108">
                  <c:v>2.1817799999999998</c:v>
                </c:pt>
                <c:pt idx="109">
                  <c:v>2.1258900000000001</c:v>
                </c:pt>
                <c:pt idx="110">
                  <c:v>2.0699999999999998</c:v>
                </c:pt>
                <c:pt idx="111">
                  <c:v>1.8629999999999998</c:v>
                </c:pt>
                <c:pt idx="112">
                  <c:v>1.6559999999999997</c:v>
                </c:pt>
                <c:pt idx="113">
                  <c:v>1.4489999999999998</c:v>
                </c:pt>
                <c:pt idx="114">
                  <c:v>1.242</c:v>
                </c:pt>
                <c:pt idx="115">
                  <c:v>1.0349999999999999</c:v>
                </c:pt>
                <c:pt idx="116">
                  <c:v>0.82799999999999996</c:v>
                </c:pt>
                <c:pt idx="117">
                  <c:v>0.621</c:v>
                </c:pt>
                <c:pt idx="118">
                  <c:v>0.41400000000000003</c:v>
                </c:pt>
                <c:pt idx="119">
                  <c:v>0.20700000000000002</c:v>
                </c:pt>
                <c:pt idx="120">
                  <c:v>0</c:v>
                </c:pt>
              </c:numCache>
            </c:numRef>
          </c:val>
        </c:ser>
        <c:ser>
          <c:idx val="1"/>
          <c:order val="1"/>
          <c:tx>
            <c:v>BHKW</c:v>
          </c:tx>
          <c:spPr>
            <a:solidFill>
              <a:srgbClr val="92D050"/>
            </a:solidFill>
            <a:ln>
              <a:solidFill>
                <a:srgbClr val="92D050"/>
              </a:solidFill>
            </a:ln>
          </c:spPr>
          <c:cat>
            <c:numRef>
              <c:f>Berechnungen_Lastgang!$B$5:$B$125</c:f>
              <c:numCache>
                <c:formatCode>General</c:formatCode>
                <c:ptCount val="121"/>
                <c:pt idx="0">
                  <c:v>0</c:v>
                </c:pt>
                <c:pt idx="1">
                  <c:v>73</c:v>
                </c:pt>
                <c:pt idx="2">
                  <c:v>146</c:v>
                </c:pt>
                <c:pt idx="3">
                  <c:v>219</c:v>
                </c:pt>
                <c:pt idx="4">
                  <c:v>292</c:v>
                </c:pt>
                <c:pt idx="5">
                  <c:v>365</c:v>
                </c:pt>
                <c:pt idx="6">
                  <c:v>438</c:v>
                </c:pt>
                <c:pt idx="7">
                  <c:v>511</c:v>
                </c:pt>
                <c:pt idx="8">
                  <c:v>584</c:v>
                </c:pt>
                <c:pt idx="9">
                  <c:v>657</c:v>
                </c:pt>
                <c:pt idx="10">
                  <c:v>730</c:v>
                </c:pt>
                <c:pt idx="11">
                  <c:v>803</c:v>
                </c:pt>
                <c:pt idx="12">
                  <c:v>876</c:v>
                </c:pt>
                <c:pt idx="13">
                  <c:v>949</c:v>
                </c:pt>
                <c:pt idx="14">
                  <c:v>1022</c:v>
                </c:pt>
                <c:pt idx="15">
                  <c:v>1095</c:v>
                </c:pt>
                <c:pt idx="16">
                  <c:v>1168</c:v>
                </c:pt>
                <c:pt idx="17">
                  <c:v>1241</c:v>
                </c:pt>
                <c:pt idx="18">
                  <c:v>1314</c:v>
                </c:pt>
                <c:pt idx="19">
                  <c:v>1387</c:v>
                </c:pt>
                <c:pt idx="20">
                  <c:v>1460</c:v>
                </c:pt>
                <c:pt idx="21">
                  <c:v>1533</c:v>
                </c:pt>
                <c:pt idx="22">
                  <c:v>1606</c:v>
                </c:pt>
                <c:pt idx="23">
                  <c:v>1679</c:v>
                </c:pt>
                <c:pt idx="24">
                  <c:v>1752</c:v>
                </c:pt>
                <c:pt idx="25">
                  <c:v>1825</c:v>
                </c:pt>
                <c:pt idx="26">
                  <c:v>1898</c:v>
                </c:pt>
                <c:pt idx="27">
                  <c:v>1971</c:v>
                </c:pt>
                <c:pt idx="28">
                  <c:v>2044</c:v>
                </c:pt>
                <c:pt idx="29">
                  <c:v>2117</c:v>
                </c:pt>
                <c:pt idx="30">
                  <c:v>2190</c:v>
                </c:pt>
                <c:pt idx="31">
                  <c:v>2263</c:v>
                </c:pt>
                <c:pt idx="32">
                  <c:v>2336</c:v>
                </c:pt>
                <c:pt idx="33">
                  <c:v>2409</c:v>
                </c:pt>
                <c:pt idx="34">
                  <c:v>2482</c:v>
                </c:pt>
                <c:pt idx="35">
                  <c:v>2555</c:v>
                </c:pt>
                <c:pt idx="36">
                  <c:v>2628</c:v>
                </c:pt>
                <c:pt idx="37">
                  <c:v>2701</c:v>
                </c:pt>
                <c:pt idx="38">
                  <c:v>2774</c:v>
                </c:pt>
                <c:pt idx="39">
                  <c:v>2847</c:v>
                </c:pt>
                <c:pt idx="40">
                  <c:v>2920</c:v>
                </c:pt>
                <c:pt idx="41">
                  <c:v>2993</c:v>
                </c:pt>
                <c:pt idx="42">
                  <c:v>3066</c:v>
                </c:pt>
                <c:pt idx="43">
                  <c:v>3139</c:v>
                </c:pt>
                <c:pt idx="44">
                  <c:v>3212</c:v>
                </c:pt>
                <c:pt idx="45">
                  <c:v>3285</c:v>
                </c:pt>
                <c:pt idx="46">
                  <c:v>3358</c:v>
                </c:pt>
                <c:pt idx="47">
                  <c:v>3431</c:v>
                </c:pt>
                <c:pt idx="48">
                  <c:v>3504</c:v>
                </c:pt>
                <c:pt idx="49">
                  <c:v>3577</c:v>
                </c:pt>
                <c:pt idx="50">
                  <c:v>3650</c:v>
                </c:pt>
                <c:pt idx="51">
                  <c:v>3723</c:v>
                </c:pt>
                <c:pt idx="52">
                  <c:v>3796</c:v>
                </c:pt>
                <c:pt idx="53">
                  <c:v>3869</c:v>
                </c:pt>
                <c:pt idx="54">
                  <c:v>3942</c:v>
                </c:pt>
                <c:pt idx="55">
                  <c:v>4015</c:v>
                </c:pt>
                <c:pt idx="56">
                  <c:v>4088</c:v>
                </c:pt>
                <c:pt idx="57">
                  <c:v>4161</c:v>
                </c:pt>
                <c:pt idx="58">
                  <c:v>4234</c:v>
                </c:pt>
                <c:pt idx="59">
                  <c:v>4307</c:v>
                </c:pt>
                <c:pt idx="60">
                  <c:v>4380</c:v>
                </c:pt>
                <c:pt idx="61">
                  <c:v>4453</c:v>
                </c:pt>
                <c:pt idx="62">
                  <c:v>4526</c:v>
                </c:pt>
                <c:pt idx="63">
                  <c:v>4599</c:v>
                </c:pt>
                <c:pt idx="64">
                  <c:v>4672</c:v>
                </c:pt>
                <c:pt idx="65">
                  <c:v>4745</c:v>
                </c:pt>
                <c:pt idx="66">
                  <c:v>4818</c:v>
                </c:pt>
                <c:pt idx="67">
                  <c:v>4891</c:v>
                </c:pt>
                <c:pt idx="68">
                  <c:v>4964</c:v>
                </c:pt>
                <c:pt idx="69">
                  <c:v>5037</c:v>
                </c:pt>
                <c:pt idx="70">
                  <c:v>5110</c:v>
                </c:pt>
                <c:pt idx="71">
                  <c:v>5183</c:v>
                </c:pt>
                <c:pt idx="72">
                  <c:v>5256</c:v>
                </c:pt>
                <c:pt idx="73">
                  <c:v>5329</c:v>
                </c:pt>
                <c:pt idx="74">
                  <c:v>5402</c:v>
                </c:pt>
                <c:pt idx="75">
                  <c:v>5475</c:v>
                </c:pt>
                <c:pt idx="76">
                  <c:v>5548</c:v>
                </c:pt>
                <c:pt idx="77">
                  <c:v>5621</c:v>
                </c:pt>
                <c:pt idx="78">
                  <c:v>5694</c:v>
                </c:pt>
                <c:pt idx="79">
                  <c:v>5767</c:v>
                </c:pt>
                <c:pt idx="80">
                  <c:v>5840</c:v>
                </c:pt>
                <c:pt idx="81">
                  <c:v>5913</c:v>
                </c:pt>
                <c:pt idx="82">
                  <c:v>5986</c:v>
                </c:pt>
                <c:pt idx="83">
                  <c:v>6059</c:v>
                </c:pt>
                <c:pt idx="84">
                  <c:v>6132</c:v>
                </c:pt>
                <c:pt idx="85">
                  <c:v>6205</c:v>
                </c:pt>
                <c:pt idx="86">
                  <c:v>6278</c:v>
                </c:pt>
                <c:pt idx="87">
                  <c:v>6351</c:v>
                </c:pt>
                <c:pt idx="88">
                  <c:v>6424</c:v>
                </c:pt>
                <c:pt idx="89">
                  <c:v>6497</c:v>
                </c:pt>
                <c:pt idx="90">
                  <c:v>6570</c:v>
                </c:pt>
                <c:pt idx="91">
                  <c:v>6643</c:v>
                </c:pt>
                <c:pt idx="92">
                  <c:v>6716</c:v>
                </c:pt>
                <c:pt idx="93">
                  <c:v>6789</c:v>
                </c:pt>
                <c:pt idx="94">
                  <c:v>6862</c:v>
                </c:pt>
                <c:pt idx="95">
                  <c:v>6935</c:v>
                </c:pt>
                <c:pt idx="96">
                  <c:v>7008</c:v>
                </c:pt>
                <c:pt idx="97">
                  <c:v>7081</c:v>
                </c:pt>
                <c:pt idx="98">
                  <c:v>7154</c:v>
                </c:pt>
                <c:pt idx="99">
                  <c:v>7227</c:v>
                </c:pt>
                <c:pt idx="100">
                  <c:v>7300</c:v>
                </c:pt>
                <c:pt idx="101">
                  <c:v>7373</c:v>
                </c:pt>
                <c:pt idx="102">
                  <c:v>7446</c:v>
                </c:pt>
                <c:pt idx="103">
                  <c:v>7519</c:v>
                </c:pt>
                <c:pt idx="104">
                  <c:v>7592</c:v>
                </c:pt>
                <c:pt idx="105">
                  <c:v>7665</c:v>
                </c:pt>
                <c:pt idx="106">
                  <c:v>7738</c:v>
                </c:pt>
                <c:pt idx="107">
                  <c:v>7811</c:v>
                </c:pt>
                <c:pt idx="108">
                  <c:v>7884</c:v>
                </c:pt>
                <c:pt idx="109">
                  <c:v>7957</c:v>
                </c:pt>
                <c:pt idx="110">
                  <c:v>8030</c:v>
                </c:pt>
                <c:pt idx="111">
                  <c:v>8103</c:v>
                </c:pt>
                <c:pt idx="112">
                  <c:v>8176</c:v>
                </c:pt>
                <c:pt idx="113">
                  <c:v>8249</c:v>
                </c:pt>
                <c:pt idx="114">
                  <c:v>8322</c:v>
                </c:pt>
                <c:pt idx="115">
                  <c:v>8395</c:v>
                </c:pt>
                <c:pt idx="116">
                  <c:v>8468</c:v>
                </c:pt>
                <c:pt idx="117">
                  <c:v>8541</c:v>
                </c:pt>
                <c:pt idx="118">
                  <c:v>8614</c:v>
                </c:pt>
                <c:pt idx="119">
                  <c:v>8687</c:v>
                </c:pt>
                <c:pt idx="120">
                  <c:v>8760</c:v>
                </c:pt>
              </c:numCache>
            </c:numRef>
          </c:cat>
          <c:val>
            <c:numRef>
              <c:f>Berechnungen_Lastgang!$GY$5:$GY$125</c:f>
              <c:numCache>
                <c:formatCode>0.00</c:formatCode>
                <c:ptCount val="121"/>
                <c:pt idx="0">
                  <c:v>20.966443256074175</c:v>
                </c:pt>
                <c:pt idx="1">
                  <c:v>20.966443256074175</c:v>
                </c:pt>
                <c:pt idx="2">
                  <c:v>20.966443256074175</c:v>
                </c:pt>
                <c:pt idx="3">
                  <c:v>20.966443256074175</c:v>
                </c:pt>
                <c:pt idx="4">
                  <c:v>20.966443256074175</c:v>
                </c:pt>
                <c:pt idx="5">
                  <c:v>20.966443256074175</c:v>
                </c:pt>
                <c:pt idx="6">
                  <c:v>20.966443256074175</c:v>
                </c:pt>
                <c:pt idx="7">
                  <c:v>20.966443256074175</c:v>
                </c:pt>
                <c:pt idx="8">
                  <c:v>20.966443256074175</c:v>
                </c:pt>
                <c:pt idx="9">
                  <c:v>20.966443256074175</c:v>
                </c:pt>
                <c:pt idx="10">
                  <c:v>20.966443256074175</c:v>
                </c:pt>
                <c:pt idx="11">
                  <c:v>20.966443256074175</c:v>
                </c:pt>
                <c:pt idx="12">
                  <c:v>20.966443256074175</c:v>
                </c:pt>
                <c:pt idx="13">
                  <c:v>20.966443256074175</c:v>
                </c:pt>
                <c:pt idx="14">
                  <c:v>20.966443256074175</c:v>
                </c:pt>
                <c:pt idx="15">
                  <c:v>20.966443256074175</c:v>
                </c:pt>
                <c:pt idx="16">
                  <c:v>20.966443256074175</c:v>
                </c:pt>
                <c:pt idx="17">
                  <c:v>20.966443256074175</c:v>
                </c:pt>
                <c:pt idx="18">
                  <c:v>20.966443256074175</c:v>
                </c:pt>
                <c:pt idx="19">
                  <c:v>20.966443256074175</c:v>
                </c:pt>
                <c:pt idx="20">
                  <c:v>20.966443256074175</c:v>
                </c:pt>
                <c:pt idx="21">
                  <c:v>20.73105</c:v>
                </c:pt>
                <c:pt idx="22">
                  <c:v>20.389499999999998</c:v>
                </c:pt>
                <c:pt idx="23">
                  <c:v>20.04795</c:v>
                </c:pt>
                <c:pt idx="24">
                  <c:v>19.706400000000002</c:v>
                </c:pt>
                <c:pt idx="25">
                  <c:v>19.364850000000001</c:v>
                </c:pt>
                <c:pt idx="26">
                  <c:v>19.023299999999999</c:v>
                </c:pt>
                <c:pt idx="27">
                  <c:v>18.681750000000001</c:v>
                </c:pt>
                <c:pt idx="28">
                  <c:v>18.340199999999999</c:v>
                </c:pt>
                <c:pt idx="29">
                  <c:v>17.998649999999998</c:v>
                </c:pt>
                <c:pt idx="30">
                  <c:v>17.6571</c:v>
                </c:pt>
                <c:pt idx="31">
                  <c:v>17.576370000000001</c:v>
                </c:pt>
                <c:pt idx="32">
                  <c:v>17.495640000000002</c:v>
                </c:pt>
                <c:pt idx="33">
                  <c:v>17.414910000000003</c:v>
                </c:pt>
                <c:pt idx="34">
                  <c:v>17.334180000000003</c:v>
                </c:pt>
                <c:pt idx="35">
                  <c:v>17.253450000000001</c:v>
                </c:pt>
                <c:pt idx="36">
                  <c:v>17.172720000000002</c:v>
                </c:pt>
                <c:pt idx="37">
                  <c:v>17.091990000000003</c:v>
                </c:pt>
                <c:pt idx="38">
                  <c:v>17.01126</c:v>
                </c:pt>
                <c:pt idx="39">
                  <c:v>16.930529999999997</c:v>
                </c:pt>
                <c:pt idx="40">
                  <c:v>16.849799999999998</c:v>
                </c:pt>
                <c:pt idx="41">
                  <c:v>16.384049999999998</c:v>
                </c:pt>
                <c:pt idx="42">
                  <c:v>15.918299999999999</c:v>
                </c:pt>
                <c:pt idx="43">
                  <c:v>15.452549999999999</c:v>
                </c:pt>
                <c:pt idx="44">
                  <c:v>14.986799999999999</c:v>
                </c:pt>
                <c:pt idx="45">
                  <c:v>14.521049999999999</c:v>
                </c:pt>
                <c:pt idx="46">
                  <c:v>14.055299999999999</c:v>
                </c:pt>
                <c:pt idx="47">
                  <c:v>13.589549999999999</c:v>
                </c:pt>
                <c:pt idx="48">
                  <c:v>13.123799999999999</c:v>
                </c:pt>
                <c:pt idx="49">
                  <c:v>12.658049999999999</c:v>
                </c:pt>
                <c:pt idx="50">
                  <c:v>12.192299999999999</c:v>
                </c:pt>
                <c:pt idx="51">
                  <c:v>12.14676</c:v>
                </c:pt>
                <c:pt idx="52">
                  <c:v>12.101220000000001</c:v>
                </c:pt>
                <c:pt idx="53">
                  <c:v>12.055680000000001</c:v>
                </c:pt>
                <c:pt idx="54">
                  <c:v>12.01014</c:v>
                </c:pt>
                <c:pt idx="55">
                  <c:v>11.964600000000001</c:v>
                </c:pt>
                <c:pt idx="56">
                  <c:v>11.91906</c:v>
                </c:pt>
                <c:pt idx="57">
                  <c:v>11.873519999999999</c:v>
                </c:pt>
                <c:pt idx="58">
                  <c:v>11.82798</c:v>
                </c:pt>
                <c:pt idx="59">
                  <c:v>11.782440000000001</c:v>
                </c:pt>
                <c:pt idx="60">
                  <c:v>11.7369</c:v>
                </c:pt>
                <c:pt idx="61">
                  <c:v>11.32704</c:v>
                </c:pt>
                <c:pt idx="62">
                  <c:v>10.91718</c:v>
                </c:pt>
                <c:pt idx="63">
                  <c:v>10.50732</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er>
        <c:dLbls>
          <c:showLegendKey val="0"/>
          <c:showVal val="0"/>
          <c:showCatName val="0"/>
          <c:showSerName val="0"/>
          <c:showPercent val="0"/>
          <c:showBubbleSize val="0"/>
        </c:dLbls>
        <c:axId val="239540328"/>
        <c:axId val="239540720"/>
      </c:areaChart>
      <c:catAx>
        <c:axId val="239540328"/>
        <c:scaling>
          <c:orientation val="minMax"/>
        </c:scaling>
        <c:delete val="0"/>
        <c:axPos val="b"/>
        <c:title>
          <c:tx>
            <c:rich>
              <a:bodyPr/>
              <a:lstStyle/>
              <a:p>
                <a:pPr>
                  <a:defRPr sz="1200"/>
                </a:pPr>
                <a:r>
                  <a:rPr lang="de-DE" sz="1200"/>
                  <a:t>Betriebsstunden im Jahr</a:t>
                </a:r>
                <a:r>
                  <a:rPr lang="de-DE" sz="1200" baseline="0"/>
                  <a:t> [h/a]</a:t>
                </a:r>
                <a:endParaRPr lang="de-DE" sz="1200"/>
              </a:p>
            </c:rich>
          </c:tx>
          <c:layout>
            <c:manualLayout>
              <c:xMode val="edge"/>
              <c:yMode val="edge"/>
              <c:x val="0.25789181998473254"/>
              <c:y val="0.88319211639540263"/>
            </c:manualLayout>
          </c:layout>
          <c:overlay val="0"/>
        </c:title>
        <c:numFmt formatCode="General" sourceLinked="1"/>
        <c:majorTickMark val="out"/>
        <c:minorTickMark val="none"/>
        <c:tickLblPos val="nextTo"/>
        <c:txPr>
          <a:bodyPr rot="-5400000" vert="horz"/>
          <a:lstStyle/>
          <a:p>
            <a:pPr>
              <a:defRPr/>
            </a:pPr>
            <a:endParaRPr lang="de-DE"/>
          </a:p>
        </c:txPr>
        <c:crossAx val="239540720"/>
        <c:crosses val="autoZero"/>
        <c:auto val="1"/>
        <c:lblAlgn val="ctr"/>
        <c:lblOffset val="100"/>
        <c:noMultiLvlLbl val="0"/>
      </c:catAx>
      <c:valAx>
        <c:axId val="239540720"/>
        <c:scaling>
          <c:orientation val="minMax"/>
        </c:scaling>
        <c:delete val="0"/>
        <c:axPos val="l"/>
        <c:title>
          <c:tx>
            <c:rich>
              <a:bodyPr/>
              <a:lstStyle/>
              <a:p>
                <a:pPr>
                  <a:defRPr sz="1200"/>
                </a:pPr>
                <a:r>
                  <a:rPr lang="de-DE" sz="1200"/>
                  <a:t>Thermische Leistung</a:t>
                </a:r>
                <a:r>
                  <a:rPr lang="de-DE" sz="1200" baseline="0"/>
                  <a:t> [kW]</a:t>
                </a:r>
                <a:endParaRPr lang="de-DE" sz="1200"/>
              </a:p>
            </c:rich>
          </c:tx>
          <c:layout>
            <c:manualLayout>
              <c:xMode val="edge"/>
              <c:yMode val="edge"/>
              <c:x val="2.323742462791677E-2"/>
              <c:y val="0.22867318218180874"/>
            </c:manualLayout>
          </c:layout>
          <c:overlay val="0"/>
        </c:title>
        <c:numFmt formatCode="#,##0" sourceLinked="0"/>
        <c:majorTickMark val="out"/>
        <c:minorTickMark val="none"/>
        <c:tickLblPos val="nextTo"/>
        <c:crossAx val="239540328"/>
        <c:crosses val="autoZero"/>
        <c:crossBetween val="midCat"/>
      </c:valAx>
      <c:spPr>
        <a:ln w="12700">
          <a:solidFill>
            <a:sysClr val="windowText" lastClr="000000"/>
          </a:solidFill>
        </a:ln>
      </c:spPr>
    </c:plotArea>
    <c:legend>
      <c:legendPos val="r"/>
      <c:layout>
        <c:manualLayout>
          <c:xMode val="edge"/>
          <c:yMode val="edge"/>
          <c:x val="0.76798360714083969"/>
          <c:y val="0.21544448001035249"/>
          <c:w val="0.21055956698754008"/>
          <c:h val="0.1796948320661812"/>
        </c:manualLayout>
      </c:layout>
      <c:overlay val="0"/>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de-DE"/>
              <a:t>Gewinn - Kosten - Übersicht</a:t>
            </a:r>
          </a:p>
        </c:rich>
      </c:tx>
      <c:layout>
        <c:manualLayout>
          <c:xMode val="edge"/>
          <c:yMode val="edge"/>
          <c:x val="0.24248259828411456"/>
          <c:y val="4.1569507634947954E-2"/>
        </c:manualLayout>
      </c:layout>
      <c:overlay val="0"/>
    </c:title>
    <c:autoTitleDeleted val="0"/>
    <c:plotArea>
      <c:layout/>
      <c:barChart>
        <c:barDir val="col"/>
        <c:grouping val="stacked"/>
        <c:varyColors val="0"/>
        <c:ser>
          <c:idx val="3"/>
          <c:order val="0"/>
          <c:tx>
            <c:strRef>
              <c:f>Berechnung_Diagramme!$B$116</c:f>
              <c:strCache>
                <c:ptCount val="1"/>
                <c:pt idx="0">
                  <c:v>Stromerlös durch Eigenverbrauch</c:v>
                </c:pt>
              </c:strCache>
            </c:strRef>
          </c:tx>
          <c:spPr>
            <a:solidFill>
              <a:schemeClr val="accent1">
                <a:lumMod val="50000"/>
              </a:schemeClr>
            </a:solidFill>
          </c:spPr>
          <c:invertIfNegative val="0"/>
          <c:cat>
            <c:strRef>
              <c:f>Berechnung_Diagramme!$C$112:$D$112</c:f>
              <c:strCache>
                <c:ptCount val="2"/>
                <c:pt idx="0">
                  <c:v>Gewinne</c:v>
                </c:pt>
                <c:pt idx="1">
                  <c:v>Kosten</c:v>
                </c:pt>
              </c:strCache>
            </c:strRef>
          </c:cat>
          <c:val>
            <c:numRef>
              <c:f>Berechnung_Diagramme!$C$116:$D$116</c:f>
              <c:numCache>
                <c:formatCode>General</c:formatCode>
                <c:ptCount val="2"/>
                <c:pt idx="0" formatCode="0.0">
                  <c:v>14.499999999999998</c:v>
                </c:pt>
              </c:numCache>
            </c:numRef>
          </c:val>
        </c:ser>
        <c:ser>
          <c:idx val="5"/>
          <c:order val="1"/>
          <c:tx>
            <c:strRef>
              <c:f>Berechnung_Diagramme!$B$118</c:f>
              <c:strCache>
                <c:ptCount val="1"/>
                <c:pt idx="0">
                  <c:v>Wärmegutschrift</c:v>
                </c:pt>
              </c:strCache>
            </c:strRef>
          </c:tx>
          <c:spPr>
            <a:solidFill>
              <a:schemeClr val="accent1">
                <a:lumMod val="75000"/>
              </a:schemeClr>
            </a:solidFill>
          </c:spPr>
          <c:invertIfNegative val="0"/>
          <c:cat>
            <c:strRef>
              <c:f>Berechnung_Diagramme!$C$112:$D$112</c:f>
              <c:strCache>
                <c:ptCount val="2"/>
                <c:pt idx="0">
                  <c:v>Gewinne</c:v>
                </c:pt>
                <c:pt idx="1">
                  <c:v>Kosten</c:v>
                </c:pt>
              </c:strCache>
            </c:strRef>
          </c:cat>
          <c:val>
            <c:numRef>
              <c:f>Berechnung_Diagramme!$C$118:$D$118</c:f>
              <c:numCache>
                <c:formatCode>General</c:formatCode>
                <c:ptCount val="2"/>
                <c:pt idx="0" formatCode="0.0">
                  <c:v>8.3865773024296697</c:v>
                </c:pt>
              </c:numCache>
            </c:numRef>
          </c:val>
        </c:ser>
        <c:ser>
          <c:idx val="0"/>
          <c:order val="2"/>
          <c:tx>
            <c:strRef>
              <c:f>Berechnung_Diagramme!$B$113</c:f>
              <c:strCache>
                <c:ptCount val="1"/>
                <c:pt idx="0">
                  <c:v>KWK-Zulage</c:v>
                </c:pt>
              </c:strCache>
            </c:strRef>
          </c:tx>
          <c:spPr>
            <a:solidFill>
              <a:schemeClr val="accent1">
                <a:lumMod val="60000"/>
                <a:lumOff val="40000"/>
              </a:schemeClr>
            </a:solidFill>
          </c:spPr>
          <c:invertIfNegative val="0"/>
          <c:cat>
            <c:strRef>
              <c:f>Berechnung_Diagramme!$C$112:$D$112</c:f>
              <c:strCache>
                <c:ptCount val="2"/>
                <c:pt idx="0">
                  <c:v>Gewinne</c:v>
                </c:pt>
                <c:pt idx="1">
                  <c:v>Kosten</c:v>
                </c:pt>
              </c:strCache>
            </c:strRef>
          </c:cat>
          <c:val>
            <c:numRef>
              <c:f>Berechnung_Diagramme!$C$113:$D$113</c:f>
              <c:numCache>
                <c:formatCode>General</c:formatCode>
                <c:ptCount val="2"/>
                <c:pt idx="0" formatCode="0.0">
                  <c:v>6.3301073829195662</c:v>
                </c:pt>
              </c:numCache>
            </c:numRef>
          </c:val>
        </c:ser>
        <c:ser>
          <c:idx val="1"/>
          <c:order val="3"/>
          <c:tx>
            <c:strRef>
              <c:f>Berechnung_Diagramme!$B$114</c:f>
              <c:strCache>
                <c:ptCount val="1"/>
                <c:pt idx="0">
                  <c:v>Energiesteuererleichterung</c:v>
                </c:pt>
              </c:strCache>
            </c:strRef>
          </c:tx>
          <c:spPr>
            <a:solidFill>
              <a:schemeClr val="accent1">
                <a:lumMod val="40000"/>
                <a:lumOff val="60000"/>
              </a:schemeClr>
            </a:solidFill>
          </c:spPr>
          <c:invertIfNegative val="0"/>
          <c:cat>
            <c:strRef>
              <c:f>Berechnung_Diagramme!$C$112:$D$112</c:f>
              <c:strCache>
                <c:ptCount val="2"/>
                <c:pt idx="0">
                  <c:v>Gewinne</c:v>
                </c:pt>
                <c:pt idx="1">
                  <c:v>Kosten</c:v>
                </c:pt>
              </c:strCache>
            </c:strRef>
          </c:cat>
          <c:val>
            <c:numRef>
              <c:f>Berechnung_Diagramme!$C$114:$D$114</c:f>
              <c:numCache>
                <c:formatCode>General</c:formatCode>
                <c:ptCount val="2"/>
                <c:pt idx="0" formatCode="0.0">
                  <c:v>1.9905246124203864</c:v>
                </c:pt>
              </c:numCache>
            </c:numRef>
          </c:val>
        </c:ser>
        <c:ser>
          <c:idx val="2"/>
          <c:order val="4"/>
          <c:tx>
            <c:strRef>
              <c:f>Berechnung_Diagramme!$B$115</c:f>
              <c:strCache>
                <c:ptCount val="1"/>
                <c:pt idx="0">
                  <c:v>Stromerlös durch Netzeinspeisung</c:v>
                </c:pt>
              </c:strCache>
            </c:strRef>
          </c:tx>
          <c:spPr>
            <a:solidFill>
              <a:schemeClr val="accent1">
                <a:lumMod val="20000"/>
                <a:lumOff val="80000"/>
              </a:schemeClr>
            </a:solidFill>
          </c:spPr>
          <c:invertIfNegative val="0"/>
          <c:cat>
            <c:strRef>
              <c:f>Berechnung_Diagramme!$C$112:$D$112</c:f>
              <c:strCache>
                <c:ptCount val="2"/>
                <c:pt idx="0">
                  <c:v>Gewinne</c:v>
                </c:pt>
                <c:pt idx="1">
                  <c:v>Kosten</c:v>
                </c:pt>
              </c:strCache>
            </c:strRef>
          </c:cat>
          <c:val>
            <c:numRef>
              <c:f>Berechnung_Diagramme!$C$115:$D$115</c:f>
              <c:numCache>
                <c:formatCode>General</c:formatCode>
                <c:ptCount val="2"/>
                <c:pt idx="0" formatCode="0.0">
                  <c:v>1.4175</c:v>
                </c:pt>
              </c:numCache>
            </c:numRef>
          </c:val>
        </c:ser>
        <c:ser>
          <c:idx val="4"/>
          <c:order val="5"/>
          <c:tx>
            <c:strRef>
              <c:f>Berechnung_Diagramme!$B$117</c:f>
              <c:strCache>
                <c:ptCount val="1"/>
                <c:pt idx="0">
                  <c:v>vermiedene Netzentgelte</c:v>
                </c:pt>
              </c:strCache>
            </c:strRef>
          </c:tx>
          <c:spPr>
            <a:solidFill>
              <a:schemeClr val="accent1">
                <a:lumMod val="75000"/>
              </a:schemeClr>
            </a:solidFill>
          </c:spPr>
          <c:invertIfNegative val="0"/>
          <c:cat>
            <c:strRef>
              <c:f>Berechnung_Diagramme!$C$112:$D$112</c:f>
              <c:strCache>
                <c:ptCount val="2"/>
                <c:pt idx="0">
                  <c:v>Gewinne</c:v>
                </c:pt>
                <c:pt idx="1">
                  <c:v>Kosten</c:v>
                </c:pt>
              </c:strCache>
            </c:strRef>
          </c:cat>
          <c:val>
            <c:numRef>
              <c:f>Berechnung_Diagramme!$C$117:$D$117</c:f>
              <c:numCache>
                <c:formatCode>General</c:formatCode>
                <c:ptCount val="2"/>
                <c:pt idx="0" formatCode="0.0">
                  <c:v>0.5</c:v>
                </c:pt>
              </c:numCache>
            </c:numRef>
          </c:val>
        </c:ser>
        <c:ser>
          <c:idx val="6"/>
          <c:order val="6"/>
          <c:tx>
            <c:strRef>
              <c:f>Berechnung_Diagramme!$B$119</c:f>
              <c:strCache>
                <c:ptCount val="1"/>
                <c:pt idx="0">
                  <c:v>Brennstoffkosten</c:v>
                </c:pt>
              </c:strCache>
            </c:strRef>
          </c:tx>
          <c:spPr>
            <a:solidFill>
              <a:schemeClr val="accent3">
                <a:lumMod val="75000"/>
              </a:schemeClr>
            </a:solidFill>
          </c:spPr>
          <c:invertIfNegative val="0"/>
          <c:cat>
            <c:strRef>
              <c:f>Berechnung_Diagramme!$C$112:$D$112</c:f>
              <c:strCache>
                <c:ptCount val="2"/>
                <c:pt idx="0">
                  <c:v>Gewinne</c:v>
                </c:pt>
                <c:pt idx="1">
                  <c:v>Kosten</c:v>
                </c:pt>
              </c:strCache>
            </c:strRef>
          </c:cat>
          <c:val>
            <c:numRef>
              <c:f>Berechnung_Diagramme!$C$119:$D$119</c:f>
              <c:numCache>
                <c:formatCode>0.0</c:formatCode>
                <c:ptCount val="2"/>
                <c:pt idx="1">
                  <c:v>14.476542635784627</c:v>
                </c:pt>
              </c:numCache>
            </c:numRef>
          </c:val>
        </c:ser>
        <c:ser>
          <c:idx val="7"/>
          <c:order val="7"/>
          <c:tx>
            <c:strRef>
              <c:f>Berechnung_Diagramme!$B$120</c:f>
              <c:strCache>
                <c:ptCount val="1"/>
                <c:pt idx="0">
                  <c:v>Wartungskosten</c:v>
                </c:pt>
              </c:strCache>
            </c:strRef>
          </c:tx>
          <c:spPr>
            <a:solidFill>
              <a:schemeClr val="accent3">
                <a:lumMod val="60000"/>
                <a:lumOff val="40000"/>
              </a:schemeClr>
            </a:solidFill>
          </c:spPr>
          <c:invertIfNegative val="0"/>
          <c:cat>
            <c:strRef>
              <c:f>Berechnung_Diagramme!$C$112:$D$112</c:f>
              <c:strCache>
                <c:ptCount val="2"/>
                <c:pt idx="0">
                  <c:v>Gewinne</c:v>
                </c:pt>
                <c:pt idx="1">
                  <c:v>Kosten</c:v>
                </c:pt>
              </c:strCache>
            </c:strRef>
          </c:cat>
          <c:val>
            <c:numRef>
              <c:f>Berechnung_Diagramme!$C$120:$D$120</c:f>
              <c:numCache>
                <c:formatCode>0.0</c:formatCode>
                <c:ptCount val="2"/>
                <c:pt idx="1">
                  <c:v>3.8487670054880363</c:v>
                </c:pt>
              </c:numCache>
            </c:numRef>
          </c:val>
        </c:ser>
        <c:ser>
          <c:idx val="8"/>
          <c:order val="8"/>
          <c:tx>
            <c:strRef>
              <c:f>Berechnung_Diagramme!$B$121</c:f>
              <c:strCache>
                <c:ptCount val="1"/>
                <c:pt idx="0">
                  <c:v>EEG Abgabe</c:v>
                </c:pt>
              </c:strCache>
            </c:strRef>
          </c:tx>
          <c:spPr>
            <a:solidFill>
              <a:schemeClr val="accent3">
                <a:lumMod val="40000"/>
                <a:lumOff val="60000"/>
              </a:schemeClr>
            </a:solidFill>
          </c:spPr>
          <c:invertIfNegative val="0"/>
          <c:cat>
            <c:strRef>
              <c:f>Berechnung_Diagramme!$C$112:$D$112</c:f>
              <c:strCache>
                <c:ptCount val="2"/>
                <c:pt idx="0">
                  <c:v>Gewinne</c:v>
                </c:pt>
                <c:pt idx="1">
                  <c:v>Kosten</c:v>
                </c:pt>
              </c:strCache>
            </c:strRef>
          </c:cat>
          <c:val>
            <c:numRef>
              <c:f>Berechnung_Diagramme!$C$121:$D$121</c:f>
              <c:numCache>
                <c:formatCode>0.0</c:formatCode>
                <c:ptCount val="2"/>
                <c:pt idx="1">
                  <c:v>0.52595736460979781</c:v>
                </c:pt>
              </c:numCache>
            </c:numRef>
          </c:val>
        </c:ser>
        <c:dLbls>
          <c:showLegendKey val="0"/>
          <c:showVal val="0"/>
          <c:showCatName val="0"/>
          <c:showSerName val="0"/>
          <c:showPercent val="0"/>
          <c:showBubbleSize val="0"/>
        </c:dLbls>
        <c:gapWidth val="150"/>
        <c:overlap val="100"/>
        <c:axId val="239541504"/>
        <c:axId val="239541896"/>
      </c:barChart>
      <c:catAx>
        <c:axId val="239541504"/>
        <c:scaling>
          <c:orientation val="minMax"/>
        </c:scaling>
        <c:delete val="0"/>
        <c:axPos val="b"/>
        <c:numFmt formatCode="General" sourceLinked="1"/>
        <c:majorTickMark val="out"/>
        <c:minorTickMark val="none"/>
        <c:tickLblPos val="nextTo"/>
        <c:crossAx val="239541896"/>
        <c:crosses val="autoZero"/>
        <c:auto val="1"/>
        <c:lblAlgn val="ctr"/>
        <c:lblOffset val="100"/>
        <c:noMultiLvlLbl val="0"/>
      </c:catAx>
      <c:valAx>
        <c:axId val="239541896"/>
        <c:scaling>
          <c:orientation val="minMax"/>
        </c:scaling>
        <c:delete val="0"/>
        <c:axPos val="l"/>
        <c:majorGridlines/>
        <c:title>
          <c:tx>
            <c:rich>
              <a:bodyPr rot="-5400000" vert="horz"/>
              <a:lstStyle/>
              <a:p>
                <a:pPr>
                  <a:defRPr sz="1050"/>
                </a:pPr>
                <a:r>
                  <a:rPr lang="de-DE" sz="1050"/>
                  <a:t>ct</a:t>
                </a:r>
                <a:r>
                  <a:rPr lang="de-DE" sz="1050" baseline="0"/>
                  <a:t> / kWhel</a:t>
                </a:r>
              </a:p>
            </c:rich>
          </c:tx>
          <c:layout>
            <c:manualLayout>
              <c:xMode val="edge"/>
              <c:yMode val="edge"/>
              <c:x val="9.969398021757149E-3"/>
              <c:y val="0.44335687141042773"/>
            </c:manualLayout>
          </c:layout>
          <c:overlay val="0"/>
        </c:title>
        <c:numFmt formatCode="0" sourceLinked="0"/>
        <c:majorTickMark val="out"/>
        <c:minorTickMark val="none"/>
        <c:tickLblPos val="nextTo"/>
        <c:crossAx val="239541504"/>
        <c:crosses val="autoZero"/>
        <c:crossBetween val="between"/>
      </c:valAx>
    </c:plotArea>
    <c:legend>
      <c:legendPos val="r"/>
      <c:layout>
        <c:manualLayout>
          <c:xMode val="edge"/>
          <c:yMode val="edge"/>
          <c:x val="0.66690018584126798"/>
          <c:y val="0.14607588666135329"/>
          <c:w val="0.31681358244859459"/>
          <c:h val="0.79149349455660656"/>
        </c:manualLayout>
      </c:layout>
      <c:overlay val="0"/>
      <c:txPr>
        <a:bodyPr/>
        <a:lstStyle/>
        <a:p>
          <a:pPr>
            <a:defRPr sz="900"/>
          </a:pPr>
          <a:endParaRPr lang="de-DE"/>
        </a:p>
      </c:txPr>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de-DE"/>
              <a:t>Amortisationszeit</a:t>
            </a:r>
          </a:p>
        </c:rich>
      </c:tx>
      <c:layout/>
      <c:overlay val="0"/>
    </c:title>
    <c:autoTitleDeleted val="0"/>
    <c:plotArea>
      <c:layout/>
      <c:scatterChart>
        <c:scatterStyle val="smoothMarker"/>
        <c:varyColors val="0"/>
        <c:ser>
          <c:idx val="1"/>
          <c:order val="0"/>
          <c:tx>
            <c:strRef>
              <c:f>Wirtschaftlichkeit!$E$99</c:f>
              <c:strCache>
                <c:ptCount val="1"/>
                <c:pt idx="0">
                  <c:v>Amortisationszeit</c:v>
                </c:pt>
              </c:strCache>
            </c:strRef>
          </c:tx>
          <c:spPr>
            <a:ln>
              <a:solidFill>
                <a:srgbClr val="0070C0"/>
              </a:solidFill>
            </a:ln>
          </c:spPr>
          <c:marker>
            <c:symbol val="none"/>
          </c:marker>
          <c:xVal>
            <c:numRef>
              <c:f>Wirtschaftlichkeit!$G$3:$Z$3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Wirtschaftlichkeit!$G$99:$Z$99</c:f>
              <c:numCache>
                <c:formatCode>#,##0.0</c:formatCode>
                <c:ptCount val="20"/>
                <c:pt idx="0">
                  <c:v>47.581538260011364</c:v>
                </c:pt>
                <c:pt idx="1">
                  <c:v>13.257534684815816</c:v>
                </c:pt>
                <c:pt idx="2">
                  <c:v>10.520775161587073</c:v>
                </c:pt>
                <c:pt idx="3">
                  <c:v>9.1045662397634093</c:v>
                </c:pt>
                <c:pt idx="4">
                  <c:v>8.3098827506710933</c:v>
                </c:pt>
                <c:pt idx="5">
                  <c:v>8.0185758916512082</c:v>
                </c:pt>
                <c:pt idx="6">
                  <c:v>7.4998584790651455</c:v>
                </c:pt>
                <c:pt idx="7">
                  <c:v>6.8664784891660595</c:v>
                </c:pt>
                <c:pt idx="8">
                  <c:v>6.4039410492466811</c:v>
                </c:pt>
                <c:pt idx="9">
                  <c:v>6.5044789848368252</c:v>
                </c:pt>
                <c:pt idx="10">
                  <c:v>6.6353570058788049</c:v>
                </c:pt>
                <c:pt idx="11">
                  <c:v>6.8903402304511658</c:v>
                </c:pt>
                <c:pt idx="12">
                  <c:v>7.0104561751259604</c:v>
                </c:pt>
                <c:pt idx="13">
                  <c:v>7.1254016318034328</c:v>
                </c:pt>
                <c:pt idx="14">
                  <c:v>7.2368507458496678</c:v>
                </c:pt>
                <c:pt idx="15">
                  <c:v>7.3461573220032799</c:v>
                </c:pt>
                <c:pt idx="16">
                  <c:v>7.7737628902350053</c:v>
                </c:pt>
                <c:pt idx="17">
                  <c:v>8.0918649156207909</c:v>
                </c:pt>
                <c:pt idx="18">
                  <c:v>8.2785695282852263</c:v>
                </c:pt>
                <c:pt idx="19">
                  <c:v>8.3892495188798613</c:v>
                </c:pt>
              </c:numCache>
            </c:numRef>
          </c:yVal>
          <c:smooth val="1"/>
        </c:ser>
        <c:dLbls>
          <c:showLegendKey val="0"/>
          <c:showVal val="0"/>
          <c:showCatName val="0"/>
          <c:showSerName val="0"/>
          <c:showPercent val="0"/>
          <c:showBubbleSize val="0"/>
        </c:dLbls>
        <c:axId val="239542680"/>
        <c:axId val="239543072"/>
      </c:scatterChart>
      <c:scatterChart>
        <c:scatterStyle val="lineMarker"/>
        <c:varyColors val="0"/>
        <c:ser>
          <c:idx val="0"/>
          <c:order val="1"/>
          <c:spPr>
            <a:ln>
              <a:solidFill>
                <a:schemeClr val="accent2"/>
              </a:solidFill>
            </a:ln>
          </c:spPr>
          <c:marker>
            <c:spPr>
              <a:solidFill>
                <a:schemeClr val="accent2"/>
              </a:solidFill>
              <a:ln>
                <a:solidFill>
                  <a:schemeClr val="accent2"/>
                </a:solidFill>
              </a:ln>
            </c:spPr>
          </c:marker>
          <c:xVal>
            <c:numRef>
              <c:f>Berechnung_Diagramme!$C$28</c:f>
              <c:numCache>
                <c:formatCode>#,##0</c:formatCode>
                <c:ptCount val="1"/>
                <c:pt idx="0">
                  <c:v>9</c:v>
                </c:pt>
              </c:numCache>
            </c:numRef>
          </c:xVal>
          <c:yVal>
            <c:numRef>
              <c:f>Berechnung_Diagramme!$C$27</c:f>
              <c:numCache>
                <c:formatCode>#,##0.00</c:formatCode>
                <c:ptCount val="1"/>
                <c:pt idx="0">
                  <c:v>6.4039410492466811</c:v>
                </c:pt>
              </c:numCache>
            </c:numRef>
          </c:yVal>
          <c:smooth val="0"/>
        </c:ser>
        <c:dLbls>
          <c:showLegendKey val="0"/>
          <c:showVal val="0"/>
          <c:showCatName val="0"/>
          <c:showSerName val="0"/>
          <c:showPercent val="0"/>
          <c:showBubbleSize val="0"/>
        </c:dLbls>
        <c:axId val="239542680"/>
        <c:axId val="239543072"/>
      </c:scatterChart>
      <c:valAx>
        <c:axId val="239542680"/>
        <c:scaling>
          <c:orientation val="minMax"/>
          <c:max val="20"/>
          <c:min val="1"/>
        </c:scaling>
        <c:delete val="0"/>
        <c:axPos val="b"/>
        <c:title>
          <c:tx>
            <c:rich>
              <a:bodyPr rot="0" vert="horz"/>
              <a:lstStyle/>
              <a:p>
                <a:pPr>
                  <a:defRPr sz="1200"/>
                </a:pPr>
                <a:r>
                  <a:rPr lang="de-DE" sz="1200"/>
                  <a:t>Elektrische Leistung in kW</a:t>
                </a:r>
              </a:p>
            </c:rich>
          </c:tx>
          <c:layout>
            <c:manualLayout>
              <c:xMode val="edge"/>
              <c:yMode val="edge"/>
              <c:x val="0.3290699470544981"/>
              <c:y val="0.90441504426655395"/>
            </c:manualLayout>
          </c:layout>
          <c:overlay val="0"/>
        </c:title>
        <c:numFmt formatCode="General" sourceLinked="1"/>
        <c:majorTickMark val="cross"/>
        <c:minorTickMark val="none"/>
        <c:tickLblPos val="nextTo"/>
        <c:txPr>
          <a:bodyPr rot="-60000000" vert="horz"/>
          <a:lstStyle/>
          <a:p>
            <a:pPr>
              <a:defRPr/>
            </a:pPr>
            <a:endParaRPr lang="de-DE"/>
          </a:p>
        </c:txPr>
        <c:crossAx val="239543072"/>
        <c:crossesAt val="0"/>
        <c:crossBetween val="midCat"/>
        <c:majorUnit val="1"/>
        <c:minorUnit val="1"/>
      </c:valAx>
      <c:valAx>
        <c:axId val="239543072"/>
        <c:scaling>
          <c:orientation val="minMax"/>
        </c:scaling>
        <c:delete val="0"/>
        <c:axPos val="l"/>
        <c:majorGridlines/>
        <c:title>
          <c:tx>
            <c:rich>
              <a:bodyPr rot="-5400000" vert="horz"/>
              <a:lstStyle/>
              <a:p>
                <a:pPr>
                  <a:defRPr sz="1200"/>
                </a:pPr>
                <a:r>
                  <a:rPr lang="de-DE" sz="1200"/>
                  <a:t>Amortisationszeit</a:t>
                </a:r>
                <a:r>
                  <a:rPr lang="de-DE" sz="1200" baseline="0"/>
                  <a:t> in Jahren</a:t>
                </a:r>
                <a:endParaRPr lang="de-DE" sz="1200"/>
              </a:p>
            </c:rich>
          </c:tx>
          <c:layout>
            <c:manualLayout>
              <c:xMode val="edge"/>
              <c:yMode val="edge"/>
              <c:x val="9.5565885546301365E-5"/>
              <c:y val="0.34662357010541028"/>
            </c:manualLayout>
          </c:layout>
          <c:overlay val="0"/>
        </c:title>
        <c:numFmt formatCode="#,##0" sourceLinked="0"/>
        <c:majorTickMark val="out"/>
        <c:minorTickMark val="none"/>
        <c:tickLblPos val="nextTo"/>
        <c:spPr>
          <a:noFill/>
        </c:spPr>
        <c:txPr>
          <a:bodyPr rot="-60000000" vert="horz"/>
          <a:lstStyle/>
          <a:p>
            <a:pPr>
              <a:defRPr/>
            </a:pPr>
            <a:endParaRPr lang="de-DE"/>
          </a:p>
        </c:txPr>
        <c:crossAx val="239542680"/>
        <c:crosses val="autoZero"/>
        <c:crossBetween val="midCat"/>
      </c:valAx>
      <c:spPr>
        <a:noFill/>
      </c:spPr>
    </c:plotArea>
    <c:plotVisOnly val="1"/>
    <c:dispBlanksAs val="gap"/>
    <c:showDLblsOverMax val="0"/>
  </c:chart>
  <c:spPr>
    <a:noFill/>
    <a:ln>
      <a:solidFill>
        <a:sysClr val="windowText" lastClr="000000"/>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de-DE" sz="1600"/>
              <a:t>absoluter Deckungsbeitrag</a:t>
            </a:r>
            <a:endParaRPr lang="de-DE"/>
          </a:p>
        </c:rich>
      </c:tx>
      <c:layout/>
      <c:overlay val="0"/>
    </c:title>
    <c:autoTitleDeleted val="0"/>
    <c:plotArea>
      <c:layout/>
      <c:scatterChart>
        <c:scatterStyle val="smoothMarker"/>
        <c:varyColors val="0"/>
        <c:ser>
          <c:idx val="1"/>
          <c:order val="0"/>
          <c:tx>
            <c:strRef>
              <c:f>Wirtschaftlichkeit!$E$97</c:f>
              <c:strCache>
                <c:ptCount val="1"/>
                <c:pt idx="0">
                  <c:v>Deckungsbeitrag</c:v>
                </c:pt>
              </c:strCache>
            </c:strRef>
          </c:tx>
          <c:spPr>
            <a:ln>
              <a:solidFill>
                <a:srgbClr val="0070C0"/>
              </a:solidFill>
            </a:ln>
            <a:effectLst/>
          </c:spPr>
          <c:marker>
            <c:symbol val="none"/>
          </c:marker>
          <c:dPt>
            <c:idx val="4"/>
            <c:bubble3D val="0"/>
          </c:dPt>
          <c:xVal>
            <c:numRef>
              <c:f>Wirtschaftlichkeit!$G$3:$Z$3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Wirtschaftlichkeit!$G$97:$Z$97</c:f>
              <c:numCache>
                <c:formatCode>#,##0</c:formatCode>
                <c:ptCount val="20"/>
                <c:pt idx="0">
                  <c:v>296.85883467687256</c:v>
                </c:pt>
                <c:pt idx="1">
                  <c:v>1234.0817406725771</c:v>
                </c:pt>
                <c:pt idx="2">
                  <c:v>1866.0266850776275</c:v>
                </c:pt>
                <c:pt idx="3">
                  <c:v>2445.2433946699684</c:v>
                </c:pt>
                <c:pt idx="4">
                  <c:v>2977.5245686894459</c:v>
                </c:pt>
                <c:pt idx="5">
                  <c:v>3360.0161239531908</c:v>
                </c:pt>
                <c:pt idx="6">
                  <c:v>3781.8110068773212</c:v>
                </c:pt>
                <c:pt idx="7">
                  <c:v>4199.8311136488264</c:v>
                </c:pt>
                <c:pt idx="8">
                  <c:v>4577.3453838161431</c:v>
                </c:pt>
                <c:pt idx="9">
                  <c:v>4588.7858406726409</c:v>
                </c:pt>
                <c:pt idx="10">
                  <c:v>4765.4514605311679</c:v>
                </c:pt>
                <c:pt idx="11">
                  <c:v>4889.5616037932332</c:v>
                </c:pt>
                <c:pt idx="12">
                  <c:v>5092.5074117518016</c:v>
                </c:pt>
                <c:pt idx="13">
                  <c:v>5284.8714533828816</c:v>
                </c:pt>
                <c:pt idx="14">
                  <c:v>5467.0186027915652</c:v>
                </c:pt>
                <c:pt idx="15">
                  <c:v>5639.2280430486517</c:v>
                </c:pt>
                <c:pt idx="16">
                  <c:v>5563.3972978372822</c:v>
                </c:pt>
                <c:pt idx="17">
                  <c:v>5565.1986653027661</c:v>
                </c:pt>
                <c:pt idx="18">
                  <c:v>5651.0205006593496</c:v>
                </c:pt>
                <c:pt idx="19">
                  <c:v>5781.1578304988607</c:v>
                </c:pt>
              </c:numCache>
            </c:numRef>
          </c:yVal>
          <c:smooth val="1"/>
        </c:ser>
        <c:dLbls>
          <c:showLegendKey val="0"/>
          <c:showVal val="0"/>
          <c:showCatName val="0"/>
          <c:showSerName val="0"/>
          <c:showPercent val="0"/>
          <c:showBubbleSize val="0"/>
        </c:dLbls>
        <c:axId val="239543856"/>
        <c:axId val="239374464"/>
      </c:scatterChart>
      <c:scatterChart>
        <c:scatterStyle val="lineMarker"/>
        <c:varyColors val="0"/>
        <c:ser>
          <c:idx val="0"/>
          <c:order val="1"/>
          <c:spPr>
            <a:ln w="28575">
              <a:solidFill>
                <a:srgbClr val="C00000"/>
              </a:solidFill>
            </a:ln>
          </c:spPr>
          <c:marker>
            <c:spPr>
              <a:solidFill>
                <a:schemeClr val="accent2"/>
              </a:solidFill>
              <a:ln>
                <a:solidFill>
                  <a:srgbClr val="C00000"/>
                </a:solidFill>
              </a:ln>
            </c:spPr>
          </c:marker>
          <c:xVal>
            <c:numRef>
              <c:f>Berechnung_Diagramme!$C$28</c:f>
              <c:numCache>
                <c:formatCode>#,##0</c:formatCode>
                <c:ptCount val="1"/>
                <c:pt idx="0">
                  <c:v>9</c:v>
                </c:pt>
              </c:numCache>
            </c:numRef>
          </c:xVal>
          <c:yVal>
            <c:numRef>
              <c:f>Berechnung_Diagramme!$E$123</c:f>
              <c:numCache>
                <c:formatCode>0.0</c:formatCode>
                <c:ptCount val="1"/>
                <c:pt idx="0">
                  <c:v>4577.3453838161431</c:v>
                </c:pt>
              </c:numCache>
            </c:numRef>
          </c:yVal>
          <c:smooth val="0"/>
        </c:ser>
        <c:dLbls>
          <c:showLegendKey val="0"/>
          <c:showVal val="0"/>
          <c:showCatName val="0"/>
          <c:showSerName val="0"/>
          <c:showPercent val="0"/>
          <c:showBubbleSize val="0"/>
        </c:dLbls>
        <c:axId val="239543856"/>
        <c:axId val="239374464"/>
      </c:scatterChart>
      <c:valAx>
        <c:axId val="239543856"/>
        <c:scaling>
          <c:orientation val="minMax"/>
          <c:max val="20"/>
          <c:min val="1"/>
        </c:scaling>
        <c:delete val="0"/>
        <c:axPos val="b"/>
        <c:title>
          <c:tx>
            <c:rich>
              <a:bodyPr rot="0" spcFirstLastPara="1" vertOverflow="ellipsis" vert="horz" wrap="square" anchor="ctr" anchorCtr="1"/>
              <a:lstStyle/>
              <a:p>
                <a:pPr algn="ctr" rtl="0">
                  <a:defRPr lang="de-DE" sz="1200" b="1" i="0" u="none" strike="noStrike" kern="1200" baseline="0">
                    <a:solidFill>
                      <a:sysClr val="windowText" lastClr="000000">
                        <a:lumMod val="75000"/>
                        <a:lumOff val="25000"/>
                      </a:sysClr>
                    </a:solidFill>
                    <a:latin typeface="+mn-lt"/>
                    <a:ea typeface="+mn-ea"/>
                    <a:cs typeface="+mn-cs"/>
                  </a:defRPr>
                </a:pPr>
                <a:r>
                  <a:rPr lang="de-DE" sz="1200" b="1" i="0" u="none" strike="noStrike" kern="1200" baseline="0">
                    <a:solidFill>
                      <a:sysClr val="windowText" lastClr="000000">
                        <a:lumMod val="75000"/>
                        <a:lumOff val="25000"/>
                      </a:sysClr>
                    </a:solidFill>
                    <a:latin typeface="+mn-lt"/>
                    <a:ea typeface="+mn-ea"/>
                    <a:cs typeface="+mn-cs"/>
                  </a:rPr>
                  <a:t>Elektrische Leistung in kW</a:t>
                </a:r>
              </a:p>
            </c:rich>
          </c:tx>
          <c:layout>
            <c:manualLayout>
              <c:xMode val="edge"/>
              <c:yMode val="edge"/>
              <c:x val="0.40101593029670296"/>
              <c:y val="0.92810090593677719"/>
            </c:manualLayout>
          </c:layout>
          <c:overlay val="0"/>
          <c:spPr>
            <a:noFill/>
            <a:ln>
              <a:noFill/>
            </a:ln>
            <a:effectLst/>
          </c:spPr>
        </c:title>
        <c:numFmt formatCode="General" sourceLinked="1"/>
        <c:majorTickMark val="cross"/>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de-DE"/>
          </a:p>
        </c:txPr>
        <c:crossAx val="239374464"/>
        <c:crossesAt val="1"/>
        <c:crossBetween val="midCat"/>
        <c:majorUnit val="1"/>
        <c:minorUnit val="1"/>
      </c:valAx>
      <c:valAx>
        <c:axId val="23937446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lgn="ctr" rtl="0">
                  <a:defRPr lang="de-DE" sz="1200" b="1" i="0" u="none" strike="noStrike" kern="1200" baseline="0">
                    <a:solidFill>
                      <a:sysClr val="windowText" lastClr="000000">
                        <a:lumMod val="75000"/>
                        <a:lumOff val="25000"/>
                      </a:sysClr>
                    </a:solidFill>
                    <a:latin typeface="+mn-lt"/>
                    <a:ea typeface="+mn-ea"/>
                    <a:cs typeface="+mn-cs"/>
                  </a:defRPr>
                </a:pPr>
                <a:r>
                  <a:rPr lang="de-DE" sz="1200" b="1" i="0" u="none" strike="noStrike" kern="1200" baseline="0">
                    <a:solidFill>
                      <a:sysClr val="windowText" lastClr="000000">
                        <a:lumMod val="75000"/>
                        <a:lumOff val="25000"/>
                      </a:sysClr>
                    </a:solidFill>
                    <a:latin typeface="+mn-lt"/>
                    <a:ea typeface="+mn-ea"/>
                    <a:cs typeface="+mn-cs"/>
                  </a:rPr>
                  <a:t>Deckungsbeitrag in €/a</a:t>
                </a:r>
              </a:p>
            </c:rich>
          </c:tx>
          <c:layout>
            <c:manualLayout>
              <c:xMode val="edge"/>
              <c:yMode val="edge"/>
              <c:x val="6.9339592216913848E-3"/>
              <c:y val="0.26034124588509316"/>
            </c:manualLayout>
          </c:layout>
          <c:overlay val="0"/>
          <c:spPr>
            <a:noFill/>
            <a:ln>
              <a:noFill/>
            </a:ln>
            <a:effectLst/>
          </c:sp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de-DE"/>
          </a:p>
        </c:txPr>
        <c:crossAx val="239543856"/>
        <c:crossesAt val="1"/>
        <c:crossBetween val="midCat"/>
      </c:valAx>
      <c:spPr>
        <a:noFill/>
        <a:ln>
          <a:noFill/>
        </a:ln>
        <a:effectLst/>
      </c:spPr>
    </c:plotArea>
    <c:plotVisOnly val="1"/>
    <c:dispBlanksAs val="gap"/>
    <c:showDLblsOverMax val="0"/>
  </c:chart>
  <c:spPr>
    <a:noFill/>
    <a:ln w="9525" cap="flat" cmpd="sng" algn="ctr">
      <a:solidFill>
        <a:sysClr val="windowText" lastClr="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a:lstStyle/>
          <a:p>
            <a:pPr>
              <a:defRPr/>
            </a:pPr>
            <a:r>
              <a:rPr lang="de-DE"/>
              <a:t>Deckungsbeitrag</a:t>
            </a:r>
          </a:p>
        </c:rich>
      </c:tx>
      <c:layout/>
      <c:overlay val="0"/>
    </c:title>
    <c:autoTitleDeleted val="0"/>
    <c:plotArea>
      <c:layout>
        <c:manualLayout>
          <c:layoutTarget val="inner"/>
          <c:xMode val="edge"/>
          <c:yMode val="edge"/>
          <c:x val="7.7824387352573382E-2"/>
          <c:y val="0.12923334651496116"/>
          <c:w val="0.79411448728139189"/>
          <c:h val="0.71769911230198657"/>
        </c:manualLayout>
      </c:layout>
      <c:lineChart>
        <c:grouping val="standard"/>
        <c:varyColors val="0"/>
        <c:ser>
          <c:idx val="0"/>
          <c:order val="0"/>
          <c:tx>
            <c:strRef>
              <c:f>Berechnung_Diagramme!$N$46</c:f>
              <c:strCache>
                <c:ptCount val="1"/>
                <c:pt idx="0">
                  <c:v>Erlöse</c:v>
                </c:pt>
              </c:strCache>
            </c:strRef>
          </c:tx>
          <c:spPr>
            <a:ln>
              <a:solidFill>
                <a:srgbClr val="FF0000"/>
              </a:solidFill>
            </a:ln>
          </c:spPr>
          <c:marker>
            <c:symbol val="none"/>
          </c:marker>
          <c:val>
            <c:numRef>
              <c:f>Berechnung_Diagramme!$N$47:$N$66</c:f>
              <c:numCache>
                <c:formatCode>0.0</c:formatCode>
                <c:ptCount val="20"/>
                <c:pt idx="0">
                  <c:v>31.888337186561209</c:v>
                </c:pt>
                <c:pt idx="1">
                  <c:v>32.217800590702851</c:v>
                </c:pt>
                <c:pt idx="2">
                  <c:v>32.411843762975195</c:v>
                </c:pt>
                <c:pt idx="3">
                  <c:v>32.226245938920137</c:v>
                </c:pt>
                <c:pt idx="4">
                  <c:v>32.153763222760332</c:v>
                </c:pt>
                <c:pt idx="5">
                  <c:v>32.45435068829569</c:v>
                </c:pt>
                <c:pt idx="6">
                  <c:v>32.645875393216329</c:v>
                </c:pt>
                <c:pt idx="7">
                  <c:v>32.845486471850066</c:v>
                </c:pt>
                <c:pt idx="8">
                  <c:v>33.12470929776962</c:v>
                </c:pt>
                <c:pt idx="9">
                  <c:v>33.684397031068649</c:v>
                </c:pt>
                <c:pt idx="10">
                  <c:v>34.193977920328649</c:v>
                </c:pt>
                <c:pt idx="11">
                  <c:v>35.259129724958107</c:v>
                </c:pt>
                <c:pt idx="12">
                  <c:v>36.089168292282238</c:v>
                </c:pt>
                <c:pt idx="13">
                  <c:v>37.001069377800754</c:v>
                </c:pt>
                <c:pt idx="14">
                  <c:v>38.008432207471593</c:v>
                </c:pt>
                <c:pt idx="15">
                  <c:v>39.128407382620807</c:v>
                </c:pt>
                <c:pt idx="16">
                  <c:v>42.222028887225903</c:v>
                </c:pt>
                <c:pt idx="17">
                  <c:v>45.538201131864518</c:v>
                </c:pt>
                <c:pt idx="18">
                  <c:v>48.566713269759653</c:v>
                </c:pt>
                <c:pt idx="19">
                  <c:v>51.395985075212693</c:v>
                </c:pt>
              </c:numCache>
            </c:numRef>
          </c:val>
          <c:smooth val="1"/>
        </c:ser>
        <c:ser>
          <c:idx val="1"/>
          <c:order val="1"/>
          <c:tx>
            <c:strRef>
              <c:f>Berechnung_Diagramme!$O$46</c:f>
              <c:strCache>
                <c:ptCount val="1"/>
                <c:pt idx="0">
                  <c:v>Kosten</c:v>
                </c:pt>
              </c:strCache>
            </c:strRef>
          </c:tx>
          <c:spPr>
            <a:ln>
              <a:solidFill>
                <a:sysClr val="windowText" lastClr="000000"/>
              </a:solidFill>
            </a:ln>
          </c:spPr>
          <c:marker>
            <c:symbol val="none"/>
          </c:marker>
          <c:val>
            <c:numRef>
              <c:f>Berechnung_Diagramme!$O$47:$O$66</c:f>
              <c:numCache>
                <c:formatCode>0.0</c:formatCode>
                <c:ptCount val="20"/>
                <c:pt idx="0">
                  <c:v>26.45</c:v>
                </c:pt>
                <c:pt idx="1">
                  <c:v>22.100479497973975</c:v>
                </c:pt>
                <c:pt idx="2">
                  <c:v>21.365500375471289</c:v>
                </c:pt>
                <c:pt idx="3">
                  <c:v>20.686813163804992</c:v>
                </c:pt>
                <c:pt idx="4">
                  <c:v>20.21306897930511</c:v>
                </c:pt>
                <c:pt idx="5">
                  <c:v>19.766202718940235</c:v>
                </c:pt>
                <c:pt idx="6">
                  <c:v>19.416947454221354</c:v>
                </c:pt>
                <c:pt idx="7">
                  <c:v>19.119150940017786</c:v>
                </c:pt>
                <c:pt idx="8">
                  <c:v>18.851267005882463</c:v>
                </c:pt>
                <c:pt idx="9">
                  <c:v>19.332262138483582</c:v>
                </c:pt>
                <c:pt idx="10">
                  <c:v>18.77485071357011</c:v>
                </c:pt>
                <c:pt idx="11">
                  <c:v>18.57233216764272</c:v>
                </c:pt>
                <c:pt idx="12">
                  <c:v>18.388507880645708</c:v>
                </c:pt>
                <c:pt idx="13">
                  <c:v>18.22039506621649</c:v>
                </c:pt>
                <c:pt idx="14">
                  <c:v>18.065659599062386</c:v>
                </c:pt>
                <c:pt idx="15">
                  <c:v>17.922442228847533</c:v>
                </c:pt>
                <c:pt idx="16">
                  <c:v>17.789239061295863</c:v>
                </c:pt>
                <c:pt idx="17">
                  <c:v>17.664817228239144</c:v>
                </c:pt>
                <c:pt idx="18">
                  <c:v>17.548154044462244</c:v>
                </c:pt>
                <c:pt idx="19">
                  <c:v>17.438392241350385</c:v>
                </c:pt>
              </c:numCache>
            </c:numRef>
          </c:val>
          <c:smooth val="1"/>
        </c:ser>
        <c:dLbls>
          <c:showLegendKey val="0"/>
          <c:showVal val="0"/>
          <c:showCatName val="0"/>
          <c:showSerName val="0"/>
          <c:showPercent val="0"/>
          <c:showBubbleSize val="0"/>
        </c:dLbls>
        <c:hiLowLines>
          <c:spPr>
            <a:effectLst>
              <a:outerShdw blurRad="50800" dir="5400000" algn="ctr" rotWithShape="0">
                <a:srgbClr val="000000">
                  <a:alpha val="43137"/>
                </a:srgbClr>
              </a:outerShdw>
            </a:effectLst>
          </c:spPr>
        </c:hiLowLines>
        <c:marker val="1"/>
        <c:smooth val="0"/>
        <c:axId val="239375248"/>
        <c:axId val="239375640"/>
      </c:lineChart>
      <c:scatterChart>
        <c:scatterStyle val="lineMarker"/>
        <c:varyColors val="0"/>
        <c:ser>
          <c:idx val="2"/>
          <c:order val="2"/>
          <c:spPr>
            <a:ln w="28575">
              <a:noFill/>
            </a:ln>
          </c:spPr>
          <c:marker>
            <c:spPr>
              <a:noFill/>
              <a:ln>
                <a:noFill/>
              </a:ln>
            </c:spPr>
          </c:marker>
          <c:dLbls>
            <c:dLbl>
              <c:idx val="0"/>
              <c:layout>
                <c:manualLayout>
                  <c:x val="-2.227544738725841E-2"/>
                  <c:y val="-0.42856856818202949"/>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6109949892627058E-2"/>
                  <c:y val="-0.3178231101824380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1129420186113099E-2"/>
                  <c:y val="-0.3080796704259334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8536578382247674E-2"/>
                  <c:y val="-0.28637408220234728"/>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8536578382247674E-2"/>
                  <c:y val="-0.2769984408494117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8940014316392269E-2"/>
                  <c:y val="-0.2586144798155430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6615748031496066E-2"/>
                  <c:y val="-0.27965788789323504"/>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4797566213314243E-2"/>
                  <c:y val="-0.27050297325559747"/>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343163922691481E-2"/>
                  <c:y val="-0.27641015409632791"/>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2473586256263419E-2"/>
                  <c:y val="-0.2825380616523564"/>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8536578382247674E-2"/>
                  <c:y val="-0.25514578093755458"/>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6718396564065855E-2"/>
                  <c:y val="-0.2549255309538230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43163922691481E-2"/>
                  <c:y val="-0.25463138757728115"/>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2.8536578382247674E-2"/>
                  <c:y val="-0.25463114921149788"/>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2.7524838940586972E-2"/>
                  <c:y val="-0.25153048710286174"/>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3.3485182534001429E-2"/>
                  <c:y val="-0.24540234118104995"/>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7524982104509665E-2"/>
                  <c:y val="-0.24842958662844228"/>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2.6718396564065855E-2"/>
                  <c:y val="-0.25138365378037408"/>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2.7524838940586972E-2"/>
                  <c:y val="-0.23329335939148071"/>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2.2070293486041517E-2"/>
                  <c:y val="-0.24540234118105"/>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solidFill>
                <a:sysClr val="window" lastClr="FFFFFF"/>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yVal>
            <c:numRef>
              <c:f>Berechnung_Diagramme!$P$47:$P$66</c:f>
              <c:numCache>
                <c:formatCode>0.0</c:formatCode>
                <c:ptCount val="20"/>
                <c:pt idx="0">
                  <c:v>5.4383371865612098</c:v>
                </c:pt>
                <c:pt idx="1">
                  <c:v>10.117321092728876</c:v>
                </c:pt>
                <c:pt idx="2">
                  <c:v>11.046343387503907</c:v>
                </c:pt>
                <c:pt idx="3">
                  <c:v>11.539432775115145</c:v>
                </c:pt>
                <c:pt idx="4">
                  <c:v>11.940694243455223</c:v>
                </c:pt>
                <c:pt idx="5">
                  <c:v>12.688147969355455</c:v>
                </c:pt>
                <c:pt idx="6">
                  <c:v>13.228927938994975</c:v>
                </c:pt>
                <c:pt idx="7">
                  <c:v>13.72633553183228</c:v>
                </c:pt>
                <c:pt idx="8">
                  <c:v>14.273442291887157</c:v>
                </c:pt>
                <c:pt idx="9">
                  <c:v>14.352134892585067</c:v>
                </c:pt>
                <c:pt idx="10">
                  <c:v>15.419127206758539</c:v>
                </c:pt>
                <c:pt idx="11">
                  <c:v>16.686797557315387</c:v>
                </c:pt>
                <c:pt idx="12">
                  <c:v>17.70066041163653</c:v>
                </c:pt>
                <c:pt idx="13">
                  <c:v>18.780674311584264</c:v>
                </c:pt>
                <c:pt idx="14">
                  <c:v>19.942772608409207</c:v>
                </c:pt>
                <c:pt idx="15">
                  <c:v>21.205965153773274</c:v>
                </c:pt>
                <c:pt idx="16">
                  <c:v>24.43278982593004</c:v>
                </c:pt>
                <c:pt idx="17">
                  <c:v>27.873383903625374</c:v>
                </c:pt>
                <c:pt idx="18">
                  <c:v>31.018559225297409</c:v>
                </c:pt>
                <c:pt idx="19">
                  <c:v>33.957592833862307</c:v>
                </c:pt>
              </c:numCache>
            </c:numRef>
          </c:yVal>
          <c:smooth val="0"/>
        </c:ser>
        <c:dLbls>
          <c:showLegendKey val="0"/>
          <c:showVal val="0"/>
          <c:showCatName val="0"/>
          <c:showSerName val="0"/>
          <c:showPercent val="0"/>
          <c:showBubbleSize val="0"/>
        </c:dLbls>
        <c:axId val="239375248"/>
        <c:axId val="239375640"/>
      </c:scatterChart>
      <c:catAx>
        <c:axId val="239375248"/>
        <c:scaling>
          <c:orientation val="minMax"/>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mn-lt"/>
                    <a:ea typeface="+mn-ea"/>
                    <a:cs typeface="+mn-cs"/>
                  </a:defRPr>
                </a:pPr>
                <a:r>
                  <a:rPr lang="de-DE" sz="1200" b="1" i="0" baseline="0">
                    <a:effectLst/>
                  </a:rPr>
                  <a:t>Elektrische Leistung in kW</a:t>
                </a:r>
                <a:endParaRPr lang="de-DE" sz="700">
                  <a:effectLst/>
                </a:endParaRPr>
              </a:p>
            </c:rich>
          </c:tx>
          <c:layout>
            <c:manualLayout>
              <c:xMode val="edge"/>
              <c:yMode val="edge"/>
              <c:x val="0.39366906400479468"/>
              <c:y val="0.926666684571401"/>
            </c:manualLayout>
          </c:layout>
          <c:overlay val="0"/>
        </c:title>
        <c:numFmt formatCode="General" sourceLinked="1"/>
        <c:majorTickMark val="none"/>
        <c:minorTickMark val="cross"/>
        <c:tickLblPos val="nextTo"/>
        <c:spPr>
          <a:noFill/>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de-DE"/>
          </a:p>
        </c:txPr>
        <c:crossAx val="239375640"/>
        <c:crosses val="autoZero"/>
        <c:auto val="1"/>
        <c:lblAlgn val="ctr"/>
        <c:lblOffset val="100"/>
        <c:noMultiLvlLbl val="0"/>
      </c:catAx>
      <c:valAx>
        <c:axId val="239375640"/>
        <c:scaling>
          <c:orientation val="minMax"/>
          <c:max val="60"/>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mn-lt"/>
                    <a:ea typeface="+mn-ea"/>
                    <a:cs typeface="+mn-cs"/>
                  </a:defRPr>
                </a:pPr>
                <a:r>
                  <a:rPr lang="de-DE" sz="1200" b="1" i="0" baseline="0">
                    <a:effectLst/>
                  </a:rPr>
                  <a:t>ct/erzeugte kWhel</a:t>
                </a:r>
                <a:endParaRPr lang="de-DE" sz="700">
                  <a:effectLst/>
                </a:endParaRPr>
              </a:p>
            </c:rich>
          </c:tx>
          <c:layout>
            <c:manualLayout>
              <c:xMode val="edge"/>
              <c:yMode val="edge"/>
              <c:x val="6.5616797900262466E-3"/>
              <c:y val="0.33926622980742727"/>
            </c:manualLayout>
          </c:layout>
          <c:overlay val="0"/>
        </c:title>
        <c:numFmt formatCode="0" sourceLinked="0"/>
        <c:majorTickMark val="out"/>
        <c:minorTickMark val="none"/>
        <c:tickLblPos val="nextTo"/>
        <c:spPr>
          <a:noFill/>
          <a:effectLst/>
        </c:spPr>
        <c:txPr>
          <a:bodyPr rot="-6000000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de-DE"/>
          </a:p>
        </c:txPr>
        <c:crossAx val="239375248"/>
        <c:crossesAt val="1"/>
        <c:crossBetween val="between"/>
      </c:valAx>
      <c:spPr>
        <a:noFill/>
        <a:ln>
          <a:noFill/>
        </a:ln>
        <a:effectLst/>
      </c:spPr>
    </c:plotArea>
    <c:legend>
      <c:legendPos val="r"/>
      <c:legendEntry>
        <c:idx val="2"/>
        <c:delete val="1"/>
      </c:legendEntry>
      <c:layout>
        <c:manualLayout>
          <c:xMode val="edge"/>
          <c:yMode val="edge"/>
          <c:x val="0.88341272982718133"/>
          <c:y val="0.33935461408664735"/>
          <c:w val="0.1039064359879376"/>
          <c:h val="0.11966303615625071"/>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11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solidFill>
      <a:sysClr val="window" lastClr="FFFFFF">
        <a:lumMod val="85000"/>
      </a:sysClr>
    </a:solidFill>
    <a:ln w="9525" cap="flat" cmpd="sng" algn="ctr">
      <a:solidFill>
        <a:sysClr val="windowText" lastClr="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Zusammensetzung Deckungsbeitrag</a:t>
            </a:r>
          </a:p>
        </c:rich>
      </c:tx>
      <c:layout/>
      <c:overlay val="0"/>
    </c:title>
    <c:autoTitleDeleted val="0"/>
    <c:plotArea>
      <c:layout/>
      <c:barChart>
        <c:barDir val="col"/>
        <c:grouping val="stacked"/>
        <c:varyColors val="0"/>
        <c:ser>
          <c:idx val="5"/>
          <c:order val="0"/>
          <c:tx>
            <c:strRef>
              <c:f>Berechnung_Diagramme!$F$46</c:f>
              <c:strCache>
                <c:ptCount val="1"/>
                <c:pt idx="0">
                  <c:v>Stromerlös durch Eigenverbrauch</c:v>
                </c:pt>
              </c:strCache>
            </c:strRef>
          </c:tx>
          <c:spPr>
            <a:solidFill>
              <a:schemeClr val="accent2">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Berechnung_Diagramme!$F$47:$F$106</c:f>
              <c:numCache>
                <c:formatCode>General</c:formatCode>
                <c:ptCount val="60"/>
                <c:pt idx="0" formatCode="#,##0.00">
                  <c:v>14.5</c:v>
                </c:pt>
                <c:pt idx="3" formatCode="0.0">
                  <c:v>14.499999999999998</c:v>
                </c:pt>
                <c:pt idx="6" formatCode="0.0">
                  <c:v>14.499999999999998</c:v>
                </c:pt>
                <c:pt idx="9" formatCode="0.0">
                  <c:v>14.499999999999996</c:v>
                </c:pt>
                <c:pt idx="12" formatCode="0.0">
                  <c:v>14.5</c:v>
                </c:pt>
                <c:pt idx="15" formatCode="0.0">
                  <c:v>14.499999999999996</c:v>
                </c:pt>
                <c:pt idx="18" formatCode="0.0">
                  <c:v>14.5</c:v>
                </c:pt>
                <c:pt idx="21" formatCode="0.0">
                  <c:v>14.5</c:v>
                </c:pt>
                <c:pt idx="24" formatCode="0.0">
                  <c:v>14.499999999999998</c:v>
                </c:pt>
                <c:pt idx="27" formatCode="0.0">
                  <c:v>14.499999999999998</c:v>
                </c:pt>
                <c:pt idx="30" formatCode="0.0">
                  <c:v>14.5</c:v>
                </c:pt>
                <c:pt idx="33" formatCode="0.0">
                  <c:v>14.5</c:v>
                </c:pt>
                <c:pt idx="36" formatCode="0.0">
                  <c:v>14.499999999999998</c:v>
                </c:pt>
                <c:pt idx="39" formatCode="0.0">
                  <c:v>14.499999999999998</c:v>
                </c:pt>
                <c:pt idx="42" formatCode="0.0">
                  <c:v>14.499999999999996</c:v>
                </c:pt>
                <c:pt idx="45" formatCode="0.0">
                  <c:v>14.5</c:v>
                </c:pt>
                <c:pt idx="48" formatCode="0.0">
                  <c:v>14.5</c:v>
                </c:pt>
                <c:pt idx="51" formatCode="0.0">
                  <c:v>14.5</c:v>
                </c:pt>
                <c:pt idx="54" formatCode="0.0">
                  <c:v>14.5</c:v>
                </c:pt>
                <c:pt idx="57" formatCode="0.0">
                  <c:v>14.5</c:v>
                </c:pt>
              </c:numCache>
            </c:numRef>
          </c:val>
        </c:ser>
        <c:ser>
          <c:idx val="7"/>
          <c:order val="1"/>
          <c:tx>
            <c:strRef>
              <c:f>Berechnung_Diagramme!$H$46</c:f>
              <c:strCache>
                <c:ptCount val="1"/>
                <c:pt idx="0">
                  <c:v>Wärmegutschrift</c:v>
                </c:pt>
              </c:strCache>
            </c:strRef>
          </c:tx>
          <c:spPr>
            <a:solidFill>
              <a:schemeClr val="tx2">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Berechnung_Diagramme!$H$47:$H$106</c:f>
              <c:numCache>
                <c:formatCode>General</c:formatCode>
                <c:ptCount val="60"/>
                <c:pt idx="0" formatCode="#,##0.00">
                  <c:v>10.200000000000001</c:v>
                </c:pt>
                <c:pt idx="3" formatCode="0.0">
                  <c:v>10.057731958762888</c:v>
                </c:pt>
                <c:pt idx="6" formatCode="0.0">
                  <c:v>9.8965971779655142</c:v>
                </c:pt>
                <c:pt idx="9" formatCode="0.0">
                  <c:v>9.4837097906692236</c:v>
                </c:pt>
                <c:pt idx="12" formatCode="0.0">
                  <c:v>9.1721679600693733</c:v>
                </c:pt>
                <c:pt idx="15" formatCode="0.0">
                  <c:v>8.9231345440513632</c:v>
                </c:pt>
                <c:pt idx="18" formatCode="0.0">
                  <c:v>8.7163718724078745</c:v>
                </c:pt>
                <c:pt idx="21" formatCode="0.0">
                  <c:v>8.5400272886096129</c:v>
                </c:pt>
                <c:pt idx="24" formatCode="0.0">
                  <c:v>8.3865773024296697</c:v>
                </c:pt>
                <c:pt idx="27" formatCode="0.0">
                  <c:v>8.2509558871846966</c:v>
                </c:pt>
                <c:pt idx="30" formatCode="0.0">
                  <c:v>7.8625041969478211</c:v>
                </c:pt>
                <c:pt idx="33" formatCode="0.0">
                  <c:v>7.7600365375689195</c:v>
                </c:pt>
                <c:pt idx="36" formatCode="0.0">
                  <c:v>7.6665845146054847</c:v>
                </c:pt>
                <c:pt idx="39" formatCode="0.0">
                  <c:v>7.5807469801840712</c:v>
                </c:pt>
                <c:pt idx="42" formatCode="0.0">
                  <c:v>7.5014220766691393</c:v>
                </c:pt>
                <c:pt idx="45" formatCode="0.0">
                  <c:v>7.4277281254857579</c:v>
                </c:pt>
                <c:pt idx="48" formatCode="0.0">
                  <c:v>7.3589489563121351</c:v>
                </c:pt>
                <c:pt idx="51" formatCode="0.0">
                  <c:v>7.2944951599469574</c:v>
                </c:pt>
                <c:pt idx="54" formatCode="0.0">
                  <c:v>7.2338760163653646</c:v>
                </c:pt>
                <c:pt idx="57" formatCode="0.0">
                  <c:v>7.1766787600466442</c:v>
                </c:pt>
              </c:numCache>
            </c:numRef>
          </c:val>
        </c:ser>
        <c:ser>
          <c:idx val="2"/>
          <c:order val="2"/>
          <c:tx>
            <c:strRef>
              <c:f>Berechnung_Diagramme!$C$46</c:f>
              <c:strCache>
                <c:ptCount val="1"/>
                <c:pt idx="0">
                  <c:v>KWK-Zulage</c:v>
                </c:pt>
              </c:strCache>
            </c:strRef>
          </c:tx>
          <c:spPr>
            <a:solidFill>
              <a:schemeClr val="accent5">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Berechnung_Diagramme!$C$47:$C$106</c:f>
              <c:numCache>
                <c:formatCode>General</c:formatCode>
                <c:ptCount val="60"/>
                <c:pt idx="0" formatCode="#,##0.00">
                  <c:v>2.9791705198945411</c:v>
                </c:pt>
                <c:pt idx="3" formatCode="0.0">
                  <c:v>3.4745273948265591</c:v>
                </c:pt>
                <c:pt idx="6" formatCode="0.0">
                  <c:v>3.8564638410842456</c:v>
                </c:pt>
                <c:pt idx="9" formatCode="0.0">
                  <c:v>4.1523186407424388</c:v>
                </c:pt>
                <c:pt idx="12" formatCode="0.0">
                  <c:v>4.4431132644910321</c:v>
                </c:pt>
                <c:pt idx="15" formatCode="0.0">
                  <c:v>5.0340893328831449</c:v>
                </c:pt>
                <c:pt idx="18" formatCode="0.0">
                  <c:v>5.4667122980354073</c:v>
                </c:pt>
                <c:pt idx="21" formatCode="0.0">
                  <c:v>5.8719522361585454</c:v>
                </c:pt>
                <c:pt idx="24" formatCode="0.0">
                  <c:v>6.3301073829195662</c:v>
                </c:pt>
                <c:pt idx="27" formatCode="0.0">
                  <c:v>7.0479382036811797</c:v>
                </c:pt>
                <c:pt idx="30" formatCode="0.0">
                  <c:v>8.0104781592741592</c:v>
                </c:pt>
                <c:pt idx="33" formatCode="0.0">
                  <c:v>9.1951136899064263</c:v>
                </c:pt>
                <c:pt idx="36" formatCode="0.0">
                  <c:v>10.13412318497355</c:v>
                </c:pt>
                <c:pt idx="39" formatCode="0.0">
                  <c:v>11.146116226390461</c:v>
                </c:pt>
                <c:pt idx="42" formatCode="0.0">
                  <c:v>12.245976875316941</c:v>
                </c:pt>
                <c:pt idx="45" formatCode="0.0">
                  <c:v>13.451883825668515</c:v>
                </c:pt>
                <c:pt idx="48" formatCode="0.0">
                  <c:v>16.625706160994788</c:v>
                </c:pt>
                <c:pt idx="51" formatCode="0.0">
                  <c:v>20.017035580018156</c:v>
                </c:pt>
                <c:pt idx="54" formatCode="0.0">
                  <c:v>23.116233446328785</c:v>
                </c:pt>
                <c:pt idx="57" formatCode="0.0">
                  <c:v>26.012200844747674</c:v>
                </c:pt>
              </c:numCache>
            </c:numRef>
          </c:val>
        </c:ser>
        <c:ser>
          <c:idx val="3"/>
          <c:order val="3"/>
          <c:tx>
            <c:strRef>
              <c:f>Berechnung_Diagramme!$D$46</c:f>
              <c:strCache>
                <c:ptCount val="1"/>
                <c:pt idx="0">
                  <c:v>Energiesteuererleichterung</c:v>
                </c:pt>
              </c:strCache>
            </c:strRef>
          </c:tx>
          <c:spPr>
            <a:solidFill>
              <a:schemeClr val="accent4">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Berechnung_Diagramme!$D$47:$D$106</c:f>
              <c:numCache>
                <c:formatCode>General</c:formatCode>
                <c:ptCount val="60"/>
                <c:pt idx="0" formatCode="#,##0.00">
                  <c:v>2.291666666666667</c:v>
                </c:pt>
                <c:pt idx="3" formatCode="0.0">
                  <c:v>2.2680412371134024</c:v>
                </c:pt>
                <c:pt idx="6" formatCode="0.0">
                  <c:v>2.2412827439254324</c:v>
                </c:pt>
                <c:pt idx="9" formatCode="0.0">
                  <c:v>2.1727175075084757</c:v>
                </c:pt>
                <c:pt idx="12" formatCode="0.0">
                  <c:v>2.1209819981999258</c:v>
                </c:pt>
                <c:pt idx="15" formatCode="0.0">
                  <c:v>2.0796268113611864</c:v>
                </c:pt>
                <c:pt idx="18" formatCode="0.0">
                  <c:v>2.0452912227730469</c:v>
                </c:pt>
                <c:pt idx="21" formatCode="0.0">
                  <c:v>2.0160069470819098</c:v>
                </c:pt>
                <c:pt idx="24" formatCode="0.0">
                  <c:v>1.9905246124203864</c:v>
                </c:pt>
                <c:pt idx="27" formatCode="0.0">
                  <c:v>1.9680029402027726</c:v>
                </c:pt>
                <c:pt idx="30" formatCode="0.0">
                  <c:v>1.9034955641066731</c:v>
                </c:pt>
                <c:pt idx="33" formatCode="0.0">
                  <c:v>1.8864794974827612</c:v>
                </c:pt>
                <c:pt idx="36" formatCode="0.0">
                  <c:v>1.8709605927032056</c:v>
                </c:pt>
                <c:pt idx="39" formatCode="0.0">
                  <c:v>1.8567061712262196</c:v>
                </c:pt>
                <c:pt idx="42" formatCode="0.0">
                  <c:v>1.8435332554855153</c:v>
                </c:pt>
                <c:pt idx="45" formatCode="0.0">
                  <c:v>1.8312954314665357</c:v>
                </c:pt>
                <c:pt idx="48" formatCode="0.0">
                  <c:v>1.8198737699189838</c:v>
                </c:pt>
                <c:pt idx="51" formatCode="0.0">
                  <c:v>1.809170391899404</c:v>
                </c:pt>
                <c:pt idx="54" formatCode="0.0">
                  <c:v>1.7991038070655041</c:v>
                </c:pt>
                <c:pt idx="57" formatCode="0.0">
                  <c:v>1.7896054704183741</c:v>
                </c:pt>
              </c:numCache>
            </c:numRef>
          </c:val>
        </c:ser>
        <c:ser>
          <c:idx val="4"/>
          <c:order val="4"/>
          <c:tx>
            <c:strRef>
              <c:f>Berechnung_Diagramme!$E$46</c:f>
              <c:strCache>
                <c:ptCount val="1"/>
                <c:pt idx="0">
                  <c:v>Stromerlös durch Netzeinspeisung</c:v>
                </c:pt>
              </c:strCache>
            </c:strRef>
          </c:tx>
          <c:spPr>
            <a:solidFill>
              <a:schemeClr val="accent3">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Berechnung_Diagramme!$E$47:$E$106</c:f>
              <c:numCache>
                <c:formatCode>General</c:formatCode>
                <c:ptCount val="60"/>
                <c:pt idx="0" formatCode="#,##0.00">
                  <c:v>1.4175</c:v>
                </c:pt>
                <c:pt idx="3" formatCode="0.0">
                  <c:v>1.4175</c:v>
                </c:pt>
                <c:pt idx="6" formatCode="0.0">
                  <c:v>1.4175</c:v>
                </c:pt>
                <c:pt idx="9" formatCode="0.0">
                  <c:v>1.4175</c:v>
                </c:pt>
                <c:pt idx="12" formatCode="0.0">
                  <c:v>1.4175</c:v>
                </c:pt>
                <c:pt idx="15" formatCode="0.0">
                  <c:v>1.4175</c:v>
                </c:pt>
                <c:pt idx="18" formatCode="0.0">
                  <c:v>1.4175</c:v>
                </c:pt>
                <c:pt idx="21" formatCode="0.0">
                  <c:v>1.4175</c:v>
                </c:pt>
                <c:pt idx="24" formatCode="0.0">
                  <c:v>1.4175</c:v>
                </c:pt>
                <c:pt idx="27" formatCode="0.0">
                  <c:v>1.4175</c:v>
                </c:pt>
                <c:pt idx="30" formatCode="0.0">
                  <c:v>1.4175</c:v>
                </c:pt>
                <c:pt idx="33" formatCode="0.0">
                  <c:v>1.4175000000000002</c:v>
                </c:pt>
                <c:pt idx="36" formatCode="0.0">
                  <c:v>1.4175</c:v>
                </c:pt>
                <c:pt idx="39" formatCode="0.0">
                  <c:v>1.4175</c:v>
                </c:pt>
                <c:pt idx="42" formatCode="0.0">
                  <c:v>1.4175</c:v>
                </c:pt>
                <c:pt idx="45" formatCode="0.0">
                  <c:v>1.4175</c:v>
                </c:pt>
                <c:pt idx="48" formatCode="0.0">
                  <c:v>1.4175</c:v>
                </c:pt>
                <c:pt idx="51" formatCode="0.0">
                  <c:v>1.4175</c:v>
                </c:pt>
                <c:pt idx="54" formatCode="0.0">
                  <c:v>1.4175</c:v>
                </c:pt>
                <c:pt idx="57" formatCode="0.0">
                  <c:v>1.4175000000000002</c:v>
                </c:pt>
              </c:numCache>
            </c:numRef>
          </c:val>
        </c:ser>
        <c:ser>
          <c:idx val="6"/>
          <c:order val="5"/>
          <c:tx>
            <c:strRef>
              <c:f>Berechnung_Diagramme!$G$46</c:f>
              <c:strCache>
                <c:ptCount val="1"/>
                <c:pt idx="0">
                  <c:v>vermiedene Netzentgelte</c:v>
                </c:pt>
              </c:strCache>
            </c:strRef>
          </c:tx>
          <c:spPr>
            <a:solidFill>
              <a:schemeClr val="accent1">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Berechnung_Diagramme!$G$47:$G$106</c:f>
              <c:numCache>
                <c:formatCode>General</c:formatCode>
                <c:ptCount val="60"/>
                <c:pt idx="0" formatCode="#,##0.00">
                  <c:v>0.49999999999999994</c:v>
                </c:pt>
                <c:pt idx="3" formatCode="0.0">
                  <c:v>0.5</c:v>
                </c:pt>
                <c:pt idx="6" formatCode="0.0">
                  <c:v>0.5</c:v>
                </c:pt>
                <c:pt idx="9" formatCode="0.0">
                  <c:v>0.5</c:v>
                </c:pt>
                <c:pt idx="12" formatCode="0.0">
                  <c:v>0.5</c:v>
                </c:pt>
                <c:pt idx="15" formatCode="0.0">
                  <c:v>0.5</c:v>
                </c:pt>
                <c:pt idx="18" formatCode="0.0">
                  <c:v>0.5</c:v>
                </c:pt>
                <c:pt idx="21" formatCode="0.0">
                  <c:v>0.5</c:v>
                </c:pt>
                <c:pt idx="24" formatCode="0.0">
                  <c:v>0.5</c:v>
                </c:pt>
                <c:pt idx="27" formatCode="0.0">
                  <c:v>0.5</c:v>
                </c:pt>
                <c:pt idx="30" formatCode="0.0">
                  <c:v>0.5</c:v>
                </c:pt>
                <c:pt idx="33" formatCode="0.0">
                  <c:v>0.5</c:v>
                </c:pt>
                <c:pt idx="36" formatCode="0.0">
                  <c:v>0.5</c:v>
                </c:pt>
                <c:pt idx="39" formatCode="0.0">
                  <c:v>0.5</c:v>
                </c:pt>
                <c:pt idx="42" formatCode="0.0">
                  <c:v>0.5</c:v>
                </c:pt>
                <c:pt idx="45" formatCode="0.0">
                  <c:v>0.5</c:v>
                </c:pt>
                <c:pt idx="48" formatCode="0.0">
                  <c:v>0.5</c:v>
                </c:pt>
                <c:pt idx="51" formatCode="0.0">
                  <c:v>0.5</c:v>
                </c:pt>
                <c:pt idx="54" formatCode="0.0">
                  <c:v>0.5</c:v>
                </c:pt>
                <c:pt idx="57" formatCode="0.0">
                  <c:v>0.5</c:v>
                </c:pt>
              </c:numCache>
            </c:numRef>
          </c:val>
        </c:ser>
        <c:ser>
          <c:idx val="8"/>
          <c:order val="6"/>
          <c:tx>
            <c:strRef>
              <c:f>Berechnung_Diagramme!$I$46</c:f>
              <c:strCache>
                <c:ptCount val="1"/>
                <c:pt idx="0">
                  <c:v>Brennstoffkosten</c:v>
                </c:pt>
              </c:strCache>
            </c:strRef>
          </c:tx>
          <c:spPr>
            <a:solidFill>
              <a:schemeClr val="accent6">
                <a:lumMod val="40000"/>
                <a:lumOff val="60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Berechnung_Diagramme!$I$47:$I$106</c:f>
              <c:numCache>
                <c:formatCode>#,##0.0</c:formatCode>
                <c:ptCount val="60"/>
                <c:pt idx="1">
                  <c:v>18.45</c:v>
                </c:pt>
                <c:pt idx="4">
                  <c:v>16.494845360824744</c:v>
                </c:pt>
                <c:pt idx="7">
                  <c:v>16.300238137639507</c:v>
                </c:pt>
                <c:pt idx="10">
                  <c:v>15.801581872788914</c:v>
                </c:pt>
                <c:pt idx="13">
                  <c:v>15.425323623272186</c:v>
                </c:pt>
                <c:pt idx="16">
                  <c:v>15.124558628081354</c:v>
                </c:pt>
                <c:pt idx="19">
                  <c:v>14.874845256531248</c:v>
                </c:pt>
                <c:pt idx="22">
                  <c:v>14.661868706050251</c:v>
                </c:pt>
                <c:pt idx="25">
                  <c:v>14.476542635784627</c:v>
                </c:pt>
                <c:pt idx="28">
                  <c:v>14.312748656020165</c:v>
                </c:pt>
                <c:pt idx="31">
                  <c:v>13.843604102593984</c:v>
                </c:pt>
                <c:pt idx="34">
                  <c:v>13.719850890783718</c:v>
                </c:pt>
                <c:pt idx="37">
                  <c:v>13.606986128750584</c:v>
                </c:pt>
                <c:pt idx="40">
                  <c:v>13.503317608917959</c:v>
                </c:pt>
                <c:pt idx="43">
                  <c:v>13.407514585349201</c:v>
                </c:pt>
                <c:pt idx="46">
                  <c:v>13.318512228847533</c:v>
                </c:pt>
                <c:pt idx="49">
                  <c:v>13.235445599410788</c:v>
                </c:pt>
                <c:pt idx="52">
                  <c:v>13.157602850177483</c:v>
                </c:pt>
                <c:pt idx="55">
                  <c:v>13.084391324112758</c:v>
                </c:pt>
                <c:pt idx="58">
                  <c:v>13.015312512133628</c:v>
                </c:pt>
              </c:numCache>
            </c:numRef>
          </c:val>
        </c:ser>
        <c:ser>
          <c:idx val="9"/>
          <c:order val="7"/>
          <c:tx>
            <c:strRef>
              <c:f>Berechnung_Diagramme!$J$46</c:f>
              <c:strCache>
                <c:ptCount val="1"/>
                <c:pt idx="0">
                  <c:v>Wartungskosten</c:v>
                </c:pt>
              </c:strCache>
            </c:strRef>
          </c:tx>
          <c:spPr>
            <a:solidFill>
              <a:schemeClr val="accent5">
                <a:lumMod val="40000"/>
                <a:lumOff val="60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Berechnung_Diagramme!$J$47:$J$106</c:f>
              <c:numCache>
                <c:formatCode>#,##0.0</c:formatCode>
                <c:ptCount val="60"/>
                <c:pt idx="1">
                  <c:v>8</c:v>
                </c:pt>
                <c:pt idx="4">
                  <c:v>5.60563413714923</c:v>
                </c:pt>
                <c:pt idx="7">
                  <c:v>5.0652622378317815</c:v>
                </c:pt>
                <c:pt idx="10">
                  <c:v>4.7137576511526378</c:v>
                </c:pt>
                <c:pt idx="13">
                  <c:v>4.4579967454521228</c:v>
                </c:pt>
                <c:pt idx="16">
                  <c:v>4.2593608581127533</c:v>
                </c:pt>
                <c:pt idx="19">
                  <c:v>4.0983376724928933</c:v>
                </c:pt>
                <c:pt idx="22">
                  <c:v>3.9637819112290225</c:v>
                </c:pt>
                <c:pt idx="25">
                  <c:v>3.8487670054880363</c:v>
                </c:pt>
                <c:pt idx="28">
                  <c:v>3.7487134824634158</c:v>
                </c:pt>
                <c:pt idx="31">
                  <c:v>3.6604466109761247</c:v>
                </c:pt>
                <c:pt idx="34">
                  <c:v>3.5816812768590025</c:v>
                </c:pt>
                <c:pt idx="37">
                  <c:v>3.5107217518951219</c:v>
                </c:pt>
                <c:pt idx="40">
                  <c:v>3.4462774572985313</c:v>
                </c:pt>
                <c:pt idx="43">
                  <c:v>3.3873450137131838</c:v>
                </c:pt>
                <c:pt idx="46">
                  <c:v>3.3331300000000001</c:v>
                </c:pt>
                <c:pt idx="49">
                  <c:v>3.2829934618850745</c:v>
                </c:pt>
                <c:pt idx="52">
                  <c:v>3.2364143780616592</c:v>
                </c:pt>
                <c:pt idx="55">
                  <c:v>3.1929627203494864</c:v>
                </c:pt>
                <c:pt idx="58">
                  <c:v>3.1522797292167564</c:v>
                </c:pt>
              </c:numCache>
            </c:numRef>
          </c:val>
        </c:ser>
        <c:ser>
          <c:idx val="10"/>
          <c:order val="8"/>
          <c:tx>
            <c:strRef>
              <c:f>Berechnung_Diagramme!$K$46</c:f>
              <c:strCache>
                <c:ptCount val="1"/>
                <c:pt idx="0">
                  <c:v>EEG Abgabe</c:v>
                </c:pt>
              </c:strCache>
            </c:strRef>
          </c:tx>
          <c:spPr>
            <a:solidFill>
              <a:schemeClr val="accent4">
                <a:lumMod val="40000"/>
                <a:lumOff val="60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Berechnung_Diagramme!$K$47:$K$106</c:f>
              <c:numCache>
                <c:formatCode>#,##0.0</c:formatCode>
                <c:ptCount val="60"/>
                <c:pt idx="1">
                  <c:v>0</c:v>
                </c:pt>
                <c:pt idx="4">
                  <c:v>0</c:v>
                </c:pt>
                <c:pt idx="7">
                  <c:v>0</c:v>
                </c:pt>
                <c:pt idx="10">
                  <c:v>0.17147363986343936</c:v>
                </c:pt>
                <c:pt idx="13">
                  <c:v>0.32974861058079952</c:v>
                </c:pt>
                <c:pt idx="16">
                  <c:v>0.38228323274612508</c:v>
                </c:pt>
                <c:pt idx="19">
                  <c:v>0.44376452519721488</c:v>
                </c:pt>
                <c:pt idx="22">
                  <c:v>0.49350032273851269</c:v>
                </c:pt>
                <c:pt idx="25">
                  <c:v>0.52595736460979781</c:v>
                </c:pt>
                <c:pt idx="28">
                  <c:v>1.2708000000000002</c:v>
                </c:pt>
                <c:pt idx="31">
                  <c:v>1.2708000000000002</c:v>
                </c:pt>
                <c:pt idx="34">
                  <c:v>1.2708000000000002</c:v>
                </c:pt>
                <c:pt idx="37">
                  <c:v>1.2708000000000002</c:v>
                </c:pt>
                <c:pt idx="40">
                  <c:v>1.2708000000000002</c:v>
                </c:pt>
                <c:pt idx="43">
                  <c:v>1.2708000000000002</c:v>
                </c:pt>
                <c:pt idx="46">
                  <c:v>1.2708000000000002</c:v>
                </c:pt>
                <c:pt idx="49">
                  <c:v>1.2708000000000004</c:v>
                </c:pt>
                <c:pt idx="52">
                  <c:v>1.2708000000000002</c:v>
                </c:pt>
                <c:pt idx="55">
                  <c:v>1.2708000000000002</c:v>
                </c:pt>
                <c:pt idx="58">
                  <c:v>1.2708000000000002</c:v>
                </c:pt>
              </c:numCache>
            </c:numRef>
          </c:val>
        </c:ser>
        <c:dLbls>
          <c:showLegendKey val="0"/>
          <c:showVal val="0"/>
          <c:showCatName val="0"/>
          <c:showSerName val="0"/>
          <c:showPercent val="0"/>
          <c:showBubbleSize val="0"/>
        </c:dLbls>
        <c:gapWidth val="0"/>
        <c:overlap val="100"/>
        <c:axId val="239376424"/>
        <c:axId val="239376816"/>
      </c:barChart>
      <c:catAx>
        <c:axId val="239376424"/>
        <c:scaling>
          <c:orientation val="minMax"/>
        </c:scaling>
        <c:delete val="0"/>
        <c:axPos val="b"/>
        <c:title>
          <c:tx>
            <c:rich>
              <a:bodyPr rot="0" vert="horz"/>
              <a:lstStyle/>
              <a:p>
                <a:pPr>
                  <a:defRPr/>
                </a:pPr>
                <a:r>
                  <a:rPr lang="de-DE"/>
                  <a:t>Elektrische Leistung in kW</a:t>
                </a:r>
              </a:p>
            </c:rich>
          </c:tx>
          <c:layout>
            <c:manualLayout>
              <c:xMode val="edge"/>
              <c:yMode val="edge"/>
              <c:x val="0.39406200947326636"/>
              <c:y val="0.95996125486286177"/>
            </c:manualLayout>
          </c:layout>
          <c:overlay val="0"/>
        </c:title>
        <c:numFmt formatCode="General" sourceLinked="1"/>
        <c:majorTickMark val="none"/>
        <c:minorTickMark val="none"/>
        <c:tickLblPos val="nextTo"/>
        <c:txPr>
          <a:bodyPr rot="-60000000" vert="horz"/>
          <a:lstStyle/>
          <a:p>
            <a:pPr>
              <a:defRPr/>
            </a:pPr>
            <a:endParaRPr lang="de-DE"/>
          </a:p>
        </c:txPr>
        <c:crossAx val="239376816"/>
        <c:crosses val="autoZero"/>
        <c:auto val="1"/>
        <c:lblAlgn val="ctr"/>
        <c:lblOffset val="100"/>
        <c:noMultiLvlLbl val="0"/>
      </c:catAx>
      <c:valAx>
        <c:axId val="239376816"/>
        <c:scaling>
          <c:orientation val="minMax"/>
        </c:scaling>
        <c:delete val="0"/>
        <c:axPos val="l"/>
        <c:majorGridlines/>
        <c:title>
          <c:tx>
            <c:rich>
              <a:bodyPr rot="-5400000" vert="horz"/>
              <a:lstStyle/>
              <a:p>
                <a:pPr>
                  <a:defRPr/>
                </a:pPr>
                <a:r>
                  <a:rPr lang="de-DE"/>
                  <a:t>ct/erzeugte kWhel</a:t>
                </a:r>
              </a:p>
            </c:rich>
          </c:tx>
          <c:layout>
            <c:manualLayout>
              <c:xMode val="edge"/>
              <c:yMode val="edge"/>
              <c:x val="6.9122768568262456E-3"/>
              <c:y val="0.38944658320597908"/>
            </c:manualLayout>
          </c:layout>
          <c:overlay val="0"/>
        </c:title>
        <c:numFmt formatCode="0" sourceLinked="0"/>
        <c:majorTickMark val="out"/>
        <c:minorTickMark val="none"/>
        <c:tickLblPos val="nextTo"/>
        <c:txPr>
          <a:bodyPr rot="-60000000" vert="horz"/>
          <a:lstStyle/>
          <a:p>
            <a:pPr>
              <a:defRPr/>
            </a:pPr>
            <a:endParaRPr lang="de-DE"/>
          </a:p>
        </c:txPr>
        <c:crossAx val="239376424"/>
        <c:crosses val="autoZero"/>
        <c:crossBetween val="between"/>
      </c:valAx>
    </c:plotArea>
    <c:legend>
      <c:legendPos val="r"/>
      <c:layout/>
      <c:overlay val="0"/>
      <c:txPr>
        <a:bodyPr rot="0" vert="horz"/>
        <a:lstStyle/>
        <a:p>
          <a:pPr>
            <a:defRPr/>
          </a:pPr>
          <a:endParaRPr lang="de-DE"/>
        </a:p>
      </c:txPr>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de-DE" sz="1600"/>
              <a:t>spezifischer Deckungsbeitrag</a:t>
            </a:r>
            <a:endParaRPr lang="de-DE"/>
          </a:p>
        </c:rich>
      </c:tx>
      <c:layout/>
      <c:overlay val="0"/>
    </c:title>
    <c:autoTitleDeleted val="0"/>
    <c:plotArea>
      <c:layout/>
      <c:scatterChart>
        <c:scatterStyle val="smoothMarker"/>
        <c:varyColors val="0"/>
        <c:ser>
          <c:idx val="1"/>
          <c:order val="0"/>
          <c:tx>
            <c:strRef>
              <c:f>Berechnung_Diagramme!$B$16</c:f>
              <c:strCache>
                <c:ptCount val="1"/>
                <c:pt idx="0">
                  <c:v>spez. Deckungsbeitrag</c:v>
                </c:pt>
              </c:strCache>
            </c:strRef>
          </c:tx>
          <c:spPr>
            <a:ln>
              <a:solidFill>
                <a:srgbClr val="0070C0"/>
              </a:solidFill>
            </a:ln>
          </c:spPr>
          <c:marker>
            <c:symbol val="none"/>
          </c:marker>
          <c:dPt>
            <c:idx val="15"/>
            <c:bubble3D val="0"/>
          </c:dPt>
          <c:xVal>
            <c:numRef>
              <c:f>Berechnung_Diagramme!$C$14:$V$14</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Berechnung_Diagramme!$C$16:$V$16</c:f>
              <c:numCache>
                <c:formatCode>#,##0</c:formatCode>
                <c:ptCount val="20"/>
                <c:pt idx="0">
                  <c:v>3.6849712034982751</c:v>
                </c:pt>
                <c:pt idx="1">
                  <c:v>8.9330225321294066</c:v>
                </c:pt>
                <c:pt idx="2">
                  <c:v>9.9948117187502348</c:v>
                </c:pt>
                <c:pt idx="3">
                  <c:v>10.576489300875448</c:v>
                </c:pt>
                <c:pt idx="4">
                  <c:v>11.024565755410013</c:v>
                </c:pt>
                <c:pt idx="5">
                  <c:v>11.746264811047311</c:v>
                </c:pt>
                <c:pt idx="6">
                  <c:v>12.305995678655904</c:v>
                </c:pt>
                <c:pt idx="7">
                  <c:v>12.844379010040866</c:v>
                </c:pt>
                <c:pt idx="8">
                  <c:v>13.414392503827482</c:v>
                </c:pt>
                <c:pt idx="9">
                  <c:v>13.475616264578319</c:v>
                </c:pt>
                <c:pt idx="10">
                  <c:v>14.459676077146236</c:v>
                </c:pt>
                <c:pt idx="11">
                  <c:v>15.611137097458327</c:v>
                </c:pt>
                <c:pt idx="12">
                  <c:v>16.541056868937044</c:v>
                </c:pt>
                <c:pt idx="13">
                  <c:v>17.531485553850796</c:v>
                </c:pt>
                <c:pt idx="14">
                  <c:v>18.596939829642512</c:v>
                </c:pt>
                <c:pt idx="15">
                  <c:v>19.75475013061002</c:v>
                </c:pt>
                <c:pt idx="16">
                  <c:v>22.670443316351733</c:v>
                </c:pt>
                <c:pt idx="17">
                  <c:v>25.786754558619219</c:v>
                </c:pt>
                <c:pt idx="18">
                  <c:v>28.646997610357737</c:v>
                </c:pt>
                <c:pt idx="19">
                  <c:v>31.329299708775437</c:v>
                </c:pt>
              </c:numCache>
            </c:numRef>
          </c:yVal>
          <c:smooth val="1"/>
        </c:ser>
        <c:ser>
          <c:idx val="0"/>
          <c:order val="1"/>
          <c:spPr>
            <a:ln w="28575">
              <a:solidFill>
                <a:srgbClr val="C00000"/>
              </a:solidFill>
            </a:ln>
          </c:spPr>
          <c:marker>
            <c:spPr>
              <a:solidFill>
                <a:srgbClr val="C00000"/>
              </a:solidFill>
              <a:ln>
                <a:solidFill>
                  <a:srgbClr val="C00000"/>
                </a:solidFill>
              </a:ln>
            </c:spPr>
          </c:marker>
          <c:xVal>
            <c:numRef>
              <c:f>Berechnung_Diagramme!$C$28</c:f>
              <c:numCache>
                <c:formatCode>#,##0</c:formatCode>
                <c:ptCount val="1"/>
                <c:pt idx="0">
                  <c:v>9</c:v>
                </c:pt>
              </c:numCache>
            </c:numRef>
          </c:xVal>
          <c:yVal>
            <c:numRef>
              <c:f>Berechnung_Diagramme!$E$122</c:f>
              <c:numCache>
                <c:formatCode>0.0</c:formatCode>
                <c:ptCount val="1"/>
                <c:pt idx="0">
                  <c:v>13.414392503827482</c:v>
                </c:pt>
              </c:numCache>
            </c:numRef>
          </c:yVal>
          <c:smooth val="1"/>
        </c:ser>
        <c:dLbls>
          <c:showLegendKey val="0"/>
          <c:showVal val="0"/>
          <c:showCatName val="0"/>
          <c:showSerName val="0"/>
          <c:showPercent val="0"/>
          <c:showBubbleSize val="0"/>
        </c:dLbls>
        <c:axId val="239377600"/>
        <c:axId val="239377992"/>
      </c:scatterChart>
      <c:valAx>
        <c:axId val="239377600"/>
        <c:scaling>
          <c:orientation val="minMax"/>
          <c:max val="20"/>
          <c:min val="1"/>
        </c:scaling>
        <c:delete val="0"/>
        <c:axPos val="b"/>
        <c:title>
          <c:tx>
            <c:rich>
              <a:bodyPr rot="0" spcFirstLastPara="1" vertOverflow="ellipsis" vert="horz" wrap="square" anchor="ctr" anchorCtr="1"/>
              <a:lstStyle/>
              <a:p>
                <a:pPr algn="ctr" rtl="0">
                  <a:defRPr lang="de-DE" sz="1200" b="1" i="0" u="none" strike="noStrike" kern="1200" baseline="0">
                    <a:solidFill>
                      <a:sysClr val="windowText" lastClr="000000">
                        <a:lumMod val="75000"/>
                        <a:lumOff val="25000"/>
                      </a:sysClr>
                    </a:solidFill>
                    <a:latin typeface="+mn-lt"/>
                    <a:ea typeface="+mn-ea"/>
                    <a:cs typeface="+mn-cs"/>
                  </a:defRPr>
                </a:pPr>
                <a:r>
                  <a:rPr lang="de-DE" sz="1200" b="1" i="0" u="none" strike="noStrike" kern="1200" baseline="0">
                    <a:solidFill>
                      <a:sysClr val="windowText" lastClr="000000">
                        <a:lumMod val="75000"/>
                        <a:lumOff val="25000"/>
                      </a:sysClr>
                    </a:solidFill>
                    <a:latin typeface="+mn-lt"/>
                    <a:ea typeface="+mn-ea"/>
                    <a:cs typeface="+mn-cs"/>
                  </a:rPr>
                  <a:t>Elektrische Leistung in kW</a:t>
                </a:r>
              </a:p>
            </c:rich>
          </c:tx>
          <c:layout>
            <c:manualLayout>
              <c:xMode val="edge"/>
              <c:yMode val="edge"/>
              <c:x val="0.40101593029670296"/>
              <c:y val="0.92810090593677719"/>
            </c:manualLayout>
          </c:layout>
          <c:overlay val="0"/>
          <c:spPr>
            <a:noFill/>
            <a:ln>
              <a:noFill/>
            </a:ln>
            <a:effectLst/>
          </c:spPr>
        </c:title>
        <c:numFmt formatCode="#,##0" sourceLinked="1"/>
        <c:majorTickMark val="cross"/>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de-DE"/>
          </a:p>
        </c:txPr>
        <c:crossAx val="239377992"/>
        <c:crossesAt val="0"/>
        <c:crossBetween val="midCat"/>
        <c:majorUnit val="1"/>
        <c:minorUnit val="1"/>
      </c:valAx>
      <c:valAx>
        <c:axId val="239377992"/>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lgn="ctr" rtl="0">
                  <a:defRPr lang="de-DE" sz="1200" b="1" i="0" u="none" strike="noStrike" kern="1200" baseline="0">
                    <a:solidFill>
                      <a:sysClr val="windowText" lastClr="000000">
                        <a:lumMod val="75000"/>
                        <a:lumOff val="25000"/>
                      </a:sysClr>
                    </a:solidFill>
                    <a:latin typeface="+mn-lt"/>
                    <a:ea typeface="+mn-ea"/>
                    <a:cs typeface="+mn-cs"/>
                  </a:defRPr>
                </a:pPr>
                <a:r>
                  <a:rPr lang="de-DE" sz="1200" b="1" i="0" u="none" strike="noStrike" kern="1200" baseline="0">
                    <a:solidFill>
                      <a:sysClr val="windowText" lastClr="000000">
                        <a:lumMod val="75000"/>
                        <a:lumOff val="25000"/>
                      </a:sysClr>
                    </a:solidFill>
                    <a:latin typeface="+mn-lt"/>
                    <a:ea typeface="+mn-ea"/>
                    <a:cs typeface="+mn-cs"/>
                  </a:rPr>
                  <a:t>Deckungsbeitrag in ct/kWhel</a:t>
                </a:r>
              </a:p>
            </c:rich>
          </c:tx>
          <c:layout>
            <c:manualLayout>
              <c:xMode val="edge"/>
              <c:yMode val="edge"/>
              <c:x val="1.2574885141446545E-2"/>
              <c:y val="0.14568854166666667"/>
            </c:manualLayout>
          </c:layout>
          <c:overlay val="0"/>
          <c:spPr>
            <a:noFill/>
            <a:ln>
              <a:noFill/>
            </a:ln>
            <a:effectLst/>
          </c:sp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de-DE"/>
          </a:p>
        </c:txPr>
        <c:crossAx val="239377600"/>
        <c:crossesAt val="1"/>
        <c:crossBetween val="midCat"/>
      </c:valAx>
      <c:spPr>
        <a:noFill/>
        <a:ln>
          <a:noFill/>
        </a:ln>
        <a:effectLst/>
      </c:spPr>
    </c:plotArea>
    <c:plotVisOnly val="1"/>
    <c:dispBlanksAs val="gap"/>
    <c:showDLblsOverMax val="0"/>
  </c:chart>
  <c:spPr>
    <a:noFill/>
    <a:ln w="9525" cap="flat" cmpd="sng" algn="ctr">
      <a:solidFill>
        <a:sysClr val="windowText" lastClr="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Gewinn</a:t>
            </a:r>
            <a:r>
              <a:rPr lang="de-DE" baseline="0"/>
              <a:t> - Kosten - Vergleich </a:t>
            </a:r>
            <a:endParaRPr lang="de-DE"/>
          </a:p>
        </c:rich>
      </c:tx>
      <c:layout/>
      <c:overlay val="0"/>
    </c:title>
    <c:autoTitleDeleted val="0"/>
    <c:plotArea>
      <c:layout/>
      <c:barChart>
        <c:barDir val="col"/>
        <c:grouping val="stacked"/>
        <c:varyColors val="0"/>
        <c:ser>
          <c:idx val="0"/>
          <c:order val="0"/>
          <c:tx>
            <c:strRef>
              <c:f>Berechnung_Diagramme!$B$31</c:f>
              <c:strCache>
                <c:ptCount val="1"/>
                <c:pt idx="0">
                  <c:v>KWK-Zulage</c:v>
                </c:pt>
              </c:strCache>
            </c:strRef>
          </c:tx>
          <c:invertIfNegative val="0"/>
          <c:val>
            <c:numRef>
              <c:f>Berechnung_Diagramme!$C$31:$V$31</c:f>
              <c:numCache>
                <c:formatCode>0.0</c:formatCode>
                <c:ptCount val="20"/>
                <c:pt idx="0">
                  <c:v>2.9791705198945411</c:v>
                </c:pt>
                <c:pt idx="1">
                  <c:v>3.4745273948265591</c:v>
                </c:pt>
                <c:pt idx="2">
                  <c:v>3.8564638410842456</c:v>
                </c:pt>
                <c:pt idx="3">
                  <c:v>4.1523186407424388</c:v>
                </c:pt>
                <c:pt idx="4">
                  <c:v>4.4431132644910321</c:v>
                </c:pt>
                <c:pt idx="5">
                  <c:v>5.0340893328831449</c:v>
                </c:pt>
                <c:pt idx="6">
                  <c:v>5.4667122980354073</c:v>
                </c:pt>
                <c:pt idx="7">
                  <c:v>5.8719522361585454</c:v>
                </c:pt>
                <c:pt idx="8">
                  <c:v>6.3301073829195662</c:v>
                </c:pt>
                <c:pt idx="9">
                  <c:v>7.0479382036811797</c:v>
                </c:pt>
                <c:pt idx="10">
                  <c:v>8.0104781592741592</c:v>
                </c:pt>
                <c:pt idx="11">
                  <c:v>9.1951136899064263</c:v>
                </c:pt>
                <c:pt idx="12">
                  <c:v>10.13412318497355</c:v>
                </c:pt>
                <c:pt idx="13">
                  <c:v>11.146116226390461</c:v>
                </c:pt>
                <c:pt idx="14">
                  <c:v>12.245976875316941</c:v>
                </c:pt>
                <c:pt idx="15">
                  <c:v>13.451883825668515</c:v>
                </c:pt>
                <c:pt idx="16">
                  <c:v>16.625706160994788</c:v>
                </c:pt>
                <c:pt idx="17">
                  <c:v>20.017035580018156</c:v>
                </c:pt>
                <c:pt idx="18">
                  <c:v>23.116233446328785</c:v>
                </c:pt>
                <c:pt idx="19">
                  <c:v>26.012200844747674</c:v>
                </c:pt>
              </c:numCache>
            </c:numRef>
          </c:val>
        </c:ser>
        <c:ser>
          <c:idx val="1"/>
          <c:order val="1"/>
          <c:tx>
            <c:strRef>
              <c:f>Berechnung_Diagramme!$B$32</c:f>
              <c:strCache>
                <c:ptCount val="1"/>
                <c:pt idx="0">
                  <c:v>Energiesteuererleichterung</c:v>
                </c:pt>
              </c:strCache>
            </c:strRef>
          </c:tx>
          <c:invertIfNegative val="0"/>
          <c:val>
            <c:numRef>
              <c:f>Berechnung_Diagramme!$C$32:$V$32</c:f>
              <c:numCache>
                <c:formatCode>0.0</c:formatCode>
                <c:ptCount val="20"/>
                <c:pt idx="0">
                  <c:v>2.291666666666667</c:v>
                </c:pt>
                <c:pt idx="1">
                  <c:v>2.2680412371134024</c:v>
                </c:pt>
                <c:pt idx="2">
                  <c:v>2.2412827439254324</c:v>
                </c:pt>
                <c:pt idx="3">
                  <c:v>2.1727175075084757</c:v>
                </c:pt>
                <c:pt idx="4">
                  <c:v>2.1209819981999258</c:v>
                </c:pt>
                <c:pt idx="5">
                  <c:v>2.0796268113611864</c:v>
                </c:pt>
                <c:pt idx="6">
                  <c:v>2.0452912227730469</c:v>
                </c:pt>
                <c:pt idx="7">
                  <c:v>2.0160069470819098</c:v>
                </c:pt>
                <c:pt idx="8">
                  <c:v>1.9905246124203864</c:v>
                </c:pt>
                <c:pt idx="9">
                  <c:v>1.9680029402027726</c:v>
                </c:pt>
                <c:pt idx="10">
                  <c:v>1.9034955641066731</c:v>
                </c:pt>
                <c:pt idx="11">
                  <c:v>1.8864794974827612</c:v>
                </c:pt>
                <c:pt idx="12">
                  <c:v>1.8709605927032056</c:v>
                </c:pt>
                <c:pt idx="13">
                  <c:v>1.8567061712262196</c:v>
                </c:pt>
                <c:pt idx="14">
                  <c:v>1.8435332554855153</c:v>
                </c:pt>
                <c:pt idx="15">
                  <c:v>1.8312954314665357</c:v>
                </c:pt>
                <c:pt idx="16">
                  <c:v>1.8198737699189838</c:v>
                </c:pt>
                <c:pt idx="17">
                  <c:v>1.809170391899404</c:v>
                </c:pt>
                <c:pt idx="18">
                  <c:v>1.7991038070655041</c:v>
                </c:pt>
                <c:pt idx="19">
                  <c:v>1.7896054704183741</c:v>
                </c:pt>
              </c:numCache>
            </c:numRef>
          </c:val>
        </c:ser>
        <c:ser>
          <c:idx val="2"/>
          <c:order val="2"/>
          <c:tx>
            <c:strRef>
              <c:f>Berechnung_Diagramme!$B$33</c:f>
              <c:strCache>
                <c:ptCount val="1"/>
                <c:pt idx="0">
                  <c:v>Stromerlös durch Netzeinspeisung</c:v>
                </c:pt>
              </c:strCache>
            </c:strRef>
          </c:tx>
          <c:invertIfNegative val="0"/>
          <c:val>
            <c:numRef>
              <c:f>Berechnung_Diagramme!$C$33:$V$33</c:f>
              <c:numCache>
                <c:formatCode>0.0</c:formatCode>
                <c:ptCount val="20"/>
                <c:pt idx="0">
                  <c:v>1.4175</c:v>
                </c:pt>
                <c:pt idx="1">
                  <c:v>1.4175</c:v>
                </c:pt>
                <c:pt idx="2">
                  <c:v>1.4175</c:v>
                </c:pt>
                <c:pt idx="3">
                  <c:v>1.4175</c:v>
                </c:pt>
                <c:pt idx="4">
                  <c:v>1.4175</c:v>
                </c:pt>
                <c:pt idx="5">
                  <c:v>1.4175</c:v>
                </c:pt>
                <c:pt idx="6">
                  <c:v>1.4175</c:v>
                </c:pt>
                <c:pt idx="7">
                  <c:v>1.4175</c:v>
                </c:pt>
                <c:pt idx="8">
                  <c:v>1.4175</c:v>
                </c:pt>
                <c:pt idx="9">
                  <c:v>1.4175</c:v>
                </c:pt>
                <c:pt idx="10">
                  <c:v>1.4175</c:v>
                </c:pt>
                <c:pt idx="11">
                  <c:v>1.4175000000000002</c:v>
                </c:pt>
                <c:pt idx="12">
                  <c:v>1.4175</c:v>
                </c:pt>
                <c:pt idx="13">
                  <c:v>1.4175</c:v>
                </c:pt>
                <c:pt idx="14">
                  <c:v>1.4175</c:v>
                </c:pt>
                <c:pt idx="15">
                  <c:v>1.4175</c:v>
                </c:pt>
                <c:pt idx="16">
                  <c:v>1.4175</c:v>
                </c:pt>
                <c:pt idx="17">
                  <c:v>1.4175</c:v>
                </c:pt>
                <c:pt idx="18">
                  <c:v>1.4175</c:v>
                </c:pt>
                <c:pt idx="19">
                  <c:v>1.4175000000000002</c:v>
                </c:pt>
              </c:numCache>
            </c:numRef>
          </c:val>
        </c:ser>
        <c:ser>
          <c:idx val="3"/>
          <c:order val="3"/>
          <c:tx>
            <c:strRef>
              <c:f>Berechnung_Diagramme!$B$34</c:f>
              <c:strCache>
                <c:ptCount val="1"/>
                <c:pt idx="0">
                  <c:v>Stromerlös durch Eigenverbrauch</c:v>
                </c:pt>
              </c:strCache>
            </c:strRef>
          </c:tx>
          <c:invertIfNegative val="0"/>
          <c:val>
            <c:numRef>
              <c:f>Berechnung_Diagramme!$C$34:$V$34</c:f>
              <c:numCache>
                <c:formatCode>0.0</c:formatCode>
                <c:ptCount val="20"/>
                <c:pt idx="0">
                  <c:v>14.5</c:v>
                </c:pt>
                <c:pt idx="1">
                  <c:v>14.499999999999998</c:v>
                </c:pt>
                <c:pt idx="2">
                  <c:v>14.499999999999998</c:v>
                </c:pt>
                <c:pt idx="3">
                  <c:v>14.499999999999996</c:v>
                </c:pt>
                <c:pt idx="4">
                  <c:v>14.5</c:v>
                </c:pt>
                <c:pt idx="5">
                  <c:v>14.499999999999996</c:v>
                </c:pt>
                <c:pt idx="6">
                  <c:v>14.5</c:v>
                </c:pt>
                <c:pt idx="7">
                  <c:v>14.5</c:v>
                </c:pt>
                <c:pt idx="8">
                  <c:v>14.499999999999998</c:v>
                </c:pt>
                <c:pt idx="9">
                  <c:v>14.499999999999998</c:v>
                </c:pt>
                <c:pt idx="10">
                  <c:v>14.5</c:v>
                </c:pt>
                <c:pt idx="11">
                  <c:v>14.5</c:v>
                </c:pt>
                <c:pt idx="12">
                  <c:v>14.499999999999998</c:v>
                </c:pt>
                <c:pt idx="13">
                  <c:v>14.499999999999998</c:v>
                </c:pt>
                <c:pt idx="14">
                  <c:v>14.499999999999996</c:v>
                </c:pt>
                <c:pt idx="15">
                  <c:v>14.5</c:v>
                </c:pt>
                <c:pt idx="16">
                  <c:v>14.5</c:v>
                </c:pt>
                <c:pt idx="17">
                  <c:v>14.5</c:v>
                </c:pt>
                <c:pt idx="18">
                  <c:v>14.5</c:v>
                </c:pt>
                <c:pt idx="19">
                  <c:v>14.5</c:v>
                </c:pt>
              </c:numCache>
            </c:numRef>
          </c:val>
        </c:ser>
        <c:ser>
          <c:idx val="4"/>
          <c:order val="4"/>
          <c:tx>
            <c:strRef>
              <c:f>Berechnung_Diagramme!$B$35</c:f>
              <c:strCache>
                <c:ptCount val="1"/>
                <c:pt idx="0">
                  <c:v>vermiedene Netzentglete</c:v>
                </c:pt>
              </c:strCache>
            </c:strRef>
          </c:tx>
          <c:invertIfNegative val="0"/>
          <c:val>
            <c:numRef>
              <c:f>Berechnung_Diagramme!$C$35:$V$35</c:f>
              <c:numCache>
                <c:formatCode>0.0</c:formatCode>
                <c:ptCount val="20"/>
                <c:pt idx="0">
                  <c:v>0.49999999999999994</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numCache>
            </c:numRef>
          </c:val>
        </c:ser>
        <c:ser>
          <c:idx val="5"/>
          <c:order val="5"/>
          <c:tx>
            <c:strRef>
              <c:f>Berechnung_Diagramme!$B$36</c:f>
              <c:strCache>
                <c:ptCount val="1"/>
                <c:pt idx="0">
                  <c:v>Wärmegutschrift</c:v>
                </c:pt>
              </c:strCache>
            </c:strRef>
          </c:tx>
          <c:invertIfNegative val="0"/>
          <c:val>
            <c:numRef>
              <c:f>Berechnung_Diagramme!$C$36:$V$36</c:f>
              <c:numCache>
                <c:formatCode>0.0</c:formatCode>
                <c:ptCount val="20"/>
                <c:pt idx="0">
                  <c:v>10.200000000000001</c:v>
                </c:pt>
                <c:pt idx="1">
                  <c:v>10.057731958762888</c:v>
                </c:pt>
                <c:pt idx="2">
                  <c:v>9.8965971779655142</c:v>
                </c:pt>
                <c:pt idx="3">
                  <c:v>9.4837097906692236</c:v>
                </c:pt>
                <c:pt idx="4">
                  <c:v>9.1721679600693733</c:v>
                </c:pt>
                <c:pt idx="5">
                  <c:v>8.9231345440513632</c:v>
                </c:pt>
                <c:pt idx="6">
                  <c:v>8.7163718724078745</c:v>
                </c:pt>
                <c:pt idx="7">
                  <c:v>8.5400272886096129</c:v>
                </c:pt>
                <c:pt idx="8">
                  <c:v>8.3865773024296697</c:v>
                </c:pt>
                <c:pt idx="9">
                  <c:v>8.2509558871846966</c:v>
                </c:pt>
                <c:pt idx="10">
                  <c:v>7.8625041969478211</c:v>
                </c:pt>
                <c:pt idx="11">
                  <c:v>7.7600365375689195</c:v>
                </c:pt>
                <c:pt idx="12">
                  <c:v>7.6665845146054847</c:v>
                </c:pt>
                <c:pt idx="13">
                  <c:v>7.5807469801840712</c:v>
                </c:pt>
                <c:pt idx="14">
                  <c:v>7.5014220766691393</c:v>
                </c:pt>
                <c:pt idx="15">
                  <c:v>7.4277281254857579</c:v>
                </c:pt>
                <c:pt idx="16">
                  <c:v>7.3589489563121351</c:v>
                </c:pt>
                <c:pt idx="17">
                  <c:v>7.2944951599469574</c:v>
                </c:pt>
                <c:pt idx="18">
                  <c:v>7.2338760163653646</c:v>
                </c:pt>
                <c:pt idx="19">
                  <c:v>7.1766787600466442</c:v>
                </c:pt>
              </c:numCache>
            </c:numRef>
          </c:val>
        </c:ser>
        <c:ser>
          <c:idx val="7"/>
          <c:order val="6"/>
          <c:tx>
            <c:strRef>
              <c:f>Berechnung_Diagramme!$B$38</c:f>
              <c:strCache>
                <c:ptCount val="1"/>
                <c:pt idx="0">
                  <c:v>Brennstoffkosten</c:v>
                </c:pt>
              </c:strCache>
            </c:strRef>
          </c:tx>
          <c:invertIfNegative val="0"/>
          <c:val>
            <c:numRef>
              <c:f>Berechnung_Diagramme!$C$38:$V$38</c:f>
              <c:numCache>
                <c:formatCode>#,##0.0</c:formatCode>
                <c:ptCount val="20"/>
                <c:pt idx="0">
                  <c:v>-18.45</c:v>
                </c:pt>
                <c:pt idx="1">
                  <c:v>-16.494845360824744</c:v>
                </c:pt>
                <c:pt idx="2">
                  <c:v>-16.300238137639507</c:v>
                </c:pt>
                <c:pt idx="3">
                  <c:v>-15.801581872788914</c:v>
                </c:pt>
                <c:pt idx="4">
                  <c:v>-15.425323623272186</c:v>
                </c:pt>
                <c:pt idx="5">
                  <c:v>-15.124558628081354</c:v>
                </c:pt>
                <c:pt idx="6">
                  <c:v>-14.874845256531248</c:v>
                </c:pt>
                <c:pt idx="7">
                  <c:v>-14.661868706050251</c:v>
                </c:pt>
                <c:pt idx="8">
                  <c:v>-14.476542635784627</c:v>
                </c:pt>
                <c:pt idx="9">
                  <c:v>-14.312748656020165</c:v>
                </c:pt>
                <c:pt idx="10">
                  <c:v>-13.843604102593984</c:v>
                </c:pt>
                <c:pt idx="11">
                  <c:v>-13.719850890783718</c:v>
                </c:pt>
                <c:pt idx="12">
                  <c:v>-13.606986128750584</c:v>
                </c:pt>
                <c:pt idx="13">
                  <c:v>-13.503317608917959</c:v>
                </c:pt>
                <c:pt idx="14">
                  <c:v>-13.407514585349201</c:v>
                </c:pt>
                <c:pt idx="15">
                  <c:v>-13.318512228847533</c:v>
                </c:pt>
                <c:pt idx="16">
                  <c:v>-13.235445599410788</c:v>
                </c:pt>
                <c:pt idx="17">
                  <c:v>-13.157602850177483</c:v>
                </c:pt>
                <c:pt idx="18">
                  <c:v>-13.084391324112758</c:v>
                </c:pt>
                <c:pt idx="19">
                  <c:v>-13.015312512133628</c:v>
                </c:pt>
              </c:numCache>
            </c:numRef>
          </c:val>
        </c:ser>
        <c:ser>
          <c:idx val="8"/>
          <c:order val="7"/>
          <c:tx>
            <c:strRef>
              <c:f>Berechnung_Diagramme!$B$39</c:f>
              <c:strCache>
                <c:ptCount val="1"/>
                <c:pt idx="0">
                  <c:v>Wartungskosten</c:v>
                </c:pt>
              </c:strCache>
            </c:strRef>
          </c:tx>
          <c:invertIfNegative val="0"/>
          <c:val>
            <c:numRef>
              <c:f>Berechnung_Diagramme!$C$39:$V$39</c:f>
              <c:numCache>
                <c:formatCode>#,##0.0</c:formatCode>
                <c:ptCount val="20"/>
                <c:pt idx="0">
                  <c:v>-8</c:v>
                </c:pt>
                <c:pt idx="1">
                  <c:v>-5.60563413714923</c:v>
                </c:pt>
                <c:pt idx="2">
                  <c:v>-5.0652622378317815</c:v>
                </c:pt>
                <c:pt idx="3">
                  <c:v>-4.7137576511526378</c:v>
                </c:pt>
                <c:pt idx="4">
                  <c:v>-4.4579967454521228</c:v>
                </c:pt>
                <c:pt idx="5">
                  <c:v>-4.2593608581127533</c:v>
                </c:pt>
                <c:pt idx="6">
                  <c:v>-4.0983376724928933</c:v>
                </c:pt>
                <c:pt idx="7">
                  <c:v>-3.9637819112290225</c:v>
                </c:pt>
                <c:pt idx="8">
                  <c:v>-3.8487670054880363</c:v>
                </c:pt>
                <c:pt idx="9">
                  <c:v>-3.7487134824634158</c:v>
                </c:pt>
                <c:pt idx="10">
                  <c:v>-3.6604466109761247</c:v>
                </c:pt>
                <c:pt idx="11">
                  <c:v>-3.5816812768590025</c:v>
                </c:pt>
                <c:pt idx="12">
                  <c:v>-3.5107217518951219</c:v>
                </c:pt>
                <c:pt idx="13">
                  <c:v>-3.4462774572985313</c:v>
                </c:pt>
                <c:pt idx="14">
                  <c:v>-3.3873450137131838</c:v>
                </c:pt>
                <c:pt idx="15">
                  <c:v>-3.3331300000000001</c:v>
                </c:pt>
                <c:pt idx="16">
                  <c:v>-3.2829934618850745</c:v>
                </c:pt>
                <c:pt idx="17">
                  <c:v>-3.2364143780616592</c:v>
                </c:pt>
                <c:pt idx="18">
                  <c:v>-3.1929627203494864</c:v>
                </c:pt>
                <c:pt idx="19">
                  <c:v>-3.1522797292167564</c:v>
                </c:pt>
              </c:numCache>
            </c:numRef>
          </c:val>
        </c:ser>
        <c:ser>
          <c:idx val="9"/>
          <c:order val="8"/>
          <c:tx>
            <c:strRef>
              <c:f>Berechnung_Diagramme!$B$40</c:f>
              <c:strCache>
                <c:ptCount val="1"/>
                <c:pt idx="0">
                  <c:v>EEG Abgabe</c:v>
                </c:pt>
              </c:strCache>
            </c:strRef>
          </c:tx>
          <c:invertIfNegative val="0"/>
          <c:val>
            <c:numRef>
              <c:f>Berechnung_Diagramme!$C$40:$V$40</c:f>
              <c:numCache>
                <c:formatCode>#,##0.0</c:formatCode>
                <c:ptCount val="20"/>
                <c:pt idx="0">
                  <c:v>0</c:v>
                </c:pt>
                <c:pt idx="1">
                  <c:v>0</c:v>
                </c:pt>
                <c:pt idx="2">
                  <c:v>0</c:v>
                </c:pt>
                <c:pt idx="3">
                  <c:v>-0.17147363986343936</c:v>
                </c:pt>
                <c:pt idx="4">
                  <c:v>-0.32974861058079952</c:v>
                </c:pt>
                <c:pt idx="5">
                  <c:v>-0.38228323274612508</c:v>
                </c:pt>
                <c:pt idx="6">
                  <c:v>-0.44376452519721488</c:v>
                </c:pt>
                <c:pt idx="7">
                  <c:v>-0.49350032273851269</c:v>
                </c:pt>
                <c:pt idx="8">
                  <c:v>-0.52595736460979781</c:v>
                </c:pt>
                <c:pt idx="9">
                  <c:v>-1.2708000000000002</c:v>
                </c:pt>
                <c:pt idx="10">
                  <c:v>-1.2708000000000002</c:v>
                </c:pt>
                <c:pt idx="11">
                  <c:v>-1.2708000000000002</c:v>
                </c:pt>
                <c:pt idx="12">
                  <c:v>-1.2708000000000002</c:v>
                </c:pt>
                <c:pt idx="13">
                  <c:v>-1.2708000000000002</c:v>
                </c:pt>
                <c:pt idx="14">
                  <c:v>-1.2708000000000002</c:v>
                </c:pt>
                <c:pt idx="15">
                  <c:v>-1.2708000000000002</c:v>
                </c:pt>
                <c:pt idx="16">
                  <c:v>-1.2708000000000004</c:v>
                </c:pt>
                <c:pt idx="17">
                  <c:v>-1.2708000000000002</c:v>
                </c:pt>
                <c:pt idx="18">
                  <c:v>-1.2708000000000002</c:v>
                </c:pt>
                <c:pt idx="19">
                  <c:v>-1.2708000000000002</c:v>
                </c:pt>
              </c:numCache>
            </c:numRef>
          </c:val>
        </c:ser>
        <c:dLbls>
          <c:showLegendKey val="0"/>
          <c:showVal val="0"/>
          <c:showCatName val="0"/>
          <c:showSerName val="0"/>
          <c:showPercent val="0"/>
          <c:showBubbleSize val="0"/>
        </c:dLbls>
        <c:gapWidth val="150"/>
        <c:overlap val="100"/>
        <c:axId val="240275264"/>
        <c:axId val="240275656"/>
      </c:barChart>
      <c:catAx>
        <c:axId val="240275264"/>
        <c:scaling>
          <c:orientation val="minMax"/>
        </c:scaling>
        <c:delete val="0"/>
        <c:axPos val="b"/>
        <c:title>
          <c:tx>
            <c:rich>
              <a:bodyPr/>
              <a:lstStyle/>
              <a:p>
                <a:pPr>
                  <a:defRPr sz="1200"/>
                </a:pPr>
                <a:r>
                  <a:rPr lang="de-DE" sz="1200"/>
                  <a:t>KW</a:t>
                </a:r>
              </a:p>
            </c:rich>
          </c:tx>
          <c:layout/>
          <c:overlay val="0"/>
        </c:title>
        <c:majorTickMark val="out"/>
        <c:minorTickMark val="none"/>
        <c:tickLblPos val="nextTo"/>
        <c:crossAx val="240275656"/>
        <c:crosses val="autoZero"/>
        <c:auto val="1"/>
        <c:lblAlgn val="ctr"/>
        <c:lblOffset val="100"/>
        <c:noMultiLvlLbl val="0"/>
      </c:catAx>
      <c:valAx>
        <c:axId val="240275656"/>
        <c:scaling>
          <c:orientation val="minMax"/>
        </c:scaling>
        <c:delete val="0"/>
        <c:axPos val="l"/>
        <c:majorGridlines/>
        <c:title>
          <c:tx>
            <c:rich>
              <a:bodyPr rot="-5400000" vert="horz"/>
              <a:lstStyle/>
              <a:p>
                <a:pPr>
                  <a:defRPr sz="1200"/>
                </a:pPr>
                <a:r>
                  <a:rPr lang="de-DE" sz="1200"/>
                  <a:t>ct / kWhel</a:t>
                </a:r>
              </a:p>
            </c:rich>
          </c:tx>
          <c:layout/>
          <c:overlay val="0"/>
        </c:title>
        <c:numFmt formatCode="#,##0" sourceLinked="0"/>
        <c:majorTickMark val="out"/>
        <c:minorTickMark val="none"/>
        <c:tickLblPos val="nextTo"/>
        <c:crossAx val="240275264"/>
        <c:crosses val="autoZero"/>
        <c:crossBetween val="between"/>
      </c:valAx>
    </c:plotArea>
    <c:legend>
      <c:legendPos val="r"/>
      <c:layout/>
      <c:overlay val="0"/>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Drop" dropStyle="combo" dx="16" fmlaLink="B9" fmlaRange="Berechnungen_Lastgang!$B$131:$B$132" noThreeD="1" sel="1" val="0"/>
</file>

<file path=xl/ctrlProps/ctrlProp2.xml><?xml version="1.0" encoding="utf-8"?>
<formControlPr xmlns="http://schemas.microsoft.com/office/spreadsheetml/2009/9/main" objectType="Drop" dropStyle="combo" dx="16" fmlaLink="B8" fmlaRange="Berechnungen_Lastgang!$B$131:$B$132" noThreeD="1" sel="2" val="0"/>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66674</xdr:rowOff>
    </xdr:from>
    <xdr:to>
      <xdr:col>13</xdr:col>
      <xdr:colOff>709083</xdr:colOff>
      <xdr:row>44</xdr:row>
      <xdr:rowOff>161925</xdr:rowOff>
    </xdr:to>
    <xdr:sp macro="" textlink="">
      <xdr:nvSpPr>
        <xdr:cNvPr id="2" name="Textfeld 1"/>
        <xdr:cNvSpPr txBox="1"/>
      </xdr:nvSpPr>
      <xdr:spPr>
        <a:xfrm>
          <a:off x="0" y="428624"/>
          <a:ext cx="10615083" cy="783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b="1" u="sng"/>
            <a:t>Anwendungsbereich</a:t>
          </a:r>
        </a:p>
        <a:p>
          <a:pPr algn="l"/>
          <a:r>
            <a:rPr lang="de-DE" sz="1100"/>
            <a:t>Eine dezentrale Energieversorgung durch Kraft-Wärme-Kopplungsanlagen (KWK) wird zunehmend interessanter, so dass die Anzahl der auf dem Markt installierten Geräte kontinuierlich steigt.</a:t>
          </a:r>
          <a:r>
            <a:rPr lang="de-DE" sz="1100" baseline="0"/>
            <a:t> Mit unserer Info-Broschüre "BHKW-Kenndaten 2014/2015" haben wir nahezu alle auf dem Markt erhältlichen KWK-Anlagen erfasst und deren technische Daten sowie Investitions- und Betriebskosten statistisch ausgewertet. </a:t>
          </a:r>
        </a:p>
        <a:p>
          <a:pPr algn="l"/>
          <a:r>
            <a:rPr lang="de-DE" sz="1100" baseline="0"/>
            <a:t>Das nachfolgende Tool nutzt diese Daten und gibt dem Anwender eine genaue Abschätzung über die Wirtschaftlichkeit einer KWK-Anlage im Leistungsbereich bis 20 kW elektrisch. </a:t>
          </a:r>
        </a:p>
        <a:p>
          <a:pPr marL="0" marR="0" indent="0" algn="l" defTabSz="914400" eaLnBrk="1" fontAlgn="auto" latinLnBrk="0" hangingPunct="1">
            <a:lnSpc>
              <a:spcPct val="100000"/>
            </a:lnSpc>
            <a:spcBef>
              <a:spcPts val="0"/>
            </a:spcBef>
            <a:spcAft>
              <a:spcPts val="0"/>
            </a:spcAft>
            <a:buClrTx/>
            <a:buSzTx/>
            <a:buFontTx/>
            <a:buNone/>
            <a:tabLst/>
            <a:defRPr/>
          </a:pPr>
          <a:r>
            <a:rPr lang="de-DE" sz="1100" baseline="0"/>
            <a:t>Hierfür sind nur wenige Bedarfsangaben des Gebäudes notwendig. Das Tool errechnet automatisch den Jahreswärmebedarf des Gebäudes. Anschließend wird die Wärme- und Stromproduktion eines jeden BHKWs in der Größe von 1 bis 20 kW elektrisch in Bezug auf das entsprechende Gebäude berechnet. </a:t>
          </a:r>
          <a:r>
            <a:rPr lang="de-DE" sz="1100" baseline="0">
              <a:solidFill>
                <a:schemeClr val="dk1"/>
              </a:solidFill>
              <a:effectLst/>
              <a:latin typeface="+mn-lt"/>
              <a:ea typeface="+mn-ea"/>
              <a:cs typeface="+mn-cs"/>
            </a:rPr>
            <a:t>Alle maßgeblichen Gesetze und Programme werden hierbei berücksichtigt (inkl. dem neuen KWK-Gesetz 2016), um ein möglichst genaues Ergebnis zu erhalten. </a:t>
          </a:r>
          <a:r>
            <a:rPr lang="de-DE" sz="1100" baseline="0"/>
            <a:t>Schließlich wird die wirtschaftlichste KWK-Anlage für das Gebäude ausgewählt und angezeigt. Maßgebend ist hier die schnellste Amortisationszeit. </a:t>
          </a:r>
          <a:endParaRPr lang="de-DE" sz="1100" b="1" u="sng" baseline="0">
            <a:solidFill>
              <a:schemeClr val="dk1"/>
            </a:solidFill>
            <a:effectLst/>
            <a:latin typeface="+mn-lt"/>
            <a:ea typeface="+mn-ea"/>
            <a:cs typeface="+mn-cs"/>
          </a:endParaRPr>
        </a:p>
        <a:p>
          <a:pPr algn="l"/>
          <a:endParaRPr lang="de-DE" sz="1100" b="1" u="sng">
            <a:solidFill>
              <a:schemeClr val="dk1"/>
            </a:solidFill>
            <a:effectLst/>
            <a:latin typeface="+mn-lt"/>
            <a:ea typeface="+mn-ea"/>
            <a:cs typeface="+mn-cs"/>
          </a:endParaRPr>
        </a:p>
        <a:p>
          <a:pPr algn="l"/>
          <a:r>
            <a:rPr lang="de-DE" sz="1100" b="1" u="sng">
              <a:solidFill>
                <a:schemeClr val="dk1"/>
              </a:solidFill>
              <a:effectLst/>
              <a:latin typeface="+mn-lt"/>
              <a:ea typeface="+mn-ea"/>
              <a:cs typeface="+mn-cs"/>
            </a:rPr>
            <a:t>Zum Programm</a:t>
          </a:r>
          <a:endParaRPr lang="de-DE">
            <a:effectLst/>
          </a:endParaRPr>
        </a:p>
        <a:p>
          <a:r>
            <a:rPr lang="de-DE" sz="1100" b="0">
              <a:solidFill>
                <a:schemeClr val="dk1"/>
              </a:solidFill>
              <a:effectLst/>
              <a:latin typeface="+mn-lt"/>
              <a:ea typeface="+mn-ea"/>
              <a:cs typeface="+mn-cs"/>
            </a:rPr>
            <a:t>Das Kalkulationsprogramm "BHKW-Tool" kann von der Internetseite der ASUE als Excel-Datei heruntergeladen werden.</a:t>
          </a:r>
          <a:r>
            <a:rPr lang="de-DE" sz="1100" b="0" baseline="0">
              <a:solidFill>
                <a:schemeClr val="dk1"/>
              </a:solidFill>
              <a:effectLst/>
              <a:latin typeface="+mn-lt"/>
              <a:ea typeface="+mn-ea"/>
              <a:cs typeface="+mn-cs"/>
            </a:rPr>
            <a:t> Die eigentlichen Berechnungsblätter sind geschützt und werden nicht angezeigt. Auf der Eingabeseite (zweites Tabellenblatt) füllen Sie bitte nur die grau hinterlegten Felder aus. Hier werden beispielsweise Projektdaten, Bedarfswerte des zu versorgenden Gebäudes sowie aktuelle Energiebezugspreise abgefragt. Die wirtschaftlichste Anlage wird Ihnen im selben Tabellenblatt angezeigt, in den beiden darauffolgenden Tabellenblättern erhalten Sie weitergehende Informationen und Diagramme. </a:t>
          </a:r>
        </a:p>
        <a:p>
          <a:endParaRPr lang="de-DE" sz="1100"/>
        </a:p>
        <a:p>
          <a:pPr marL="0" indent="0" algn="l"/>
          <a:r>
            <a:rPr lang="de-DE" sz="1100" b="1" u="sng"/>
            <a:t>Rahmendaten</a:t>
          </a:r>
        </a:p>
        <a:p>
          <a:pPr marL="0" indent="0" algn="l"/>
          <a:r>
            <a:rPr lang="de-DE" sz="1100" b="0" u="none">
              <a:solidFill>
                <a:schemeClr val="dk1"/>
              </a:solidFill>
              <a:latin typeface="+mn-lt"/>
              <a:ea typeface="+mn-ea"/>
              <a:cs typeface="+mn-cs"/>
            </a:rPr>
            <a:t>Die nachfolgenden KWK-Anlagen</a:t>
          </a:r>
          <a:r>
            <a:rPr lang="de-DE" sz="1100" b="0" u="none" baseline="0">
              <a:solidFill>
                <a:schemeClr val="dk1"/>
              </a:solidFill>
              <a:latin typeface="+mn-lt"/>
              <a:ea typeface="+mn-ea"/>
              <a:cs typeface="+mn-cs"/>
            </a:rPr>
            <a:t> werden nach einer wärmegeführten Betriebsweise berechnet. Dabei wurden folgende Grundlagen vorausgesetzt:</a:t>
          </a:r>
        </a:p>
        <a:p>
          <a:pPr marL="0" indent="0" algn="l"/>
          <a:r>
            <a:rPr lang="de-DE" sz="1100" b="0" u="none">
              <a:solidFill>
                <a:schemeClr val="dk1"/>
              </a:solidFill>
              <a:latin typeface="+mn-lt"/>
              <a:ea typeface="+mn-ea"/>
              <a:cs typeface="+mn-cs"/>
            </a:rPr>
            <a:t>- Die beim BHKW entstehende</a:t>
          </a:r>
          <a:r>
            <a:rPr lang="de-DE" sz="1100" b="0" u="none" baseline="0">
              <a:solidFill>
                <a:schemeClr val="dk1"/>
              </a:solidFill>
              <a:latin typeface="+mn-lt"/>
              <a:ea typeface="+mn-ea"/>
              <a:cs typeface="+mn-cs"/>
            </a:rPr>
            <a:t> Wärme soll vollständig für Heizzwecke und zur Trinkwassererwärmung genutzt werden.</a:t>
          </a:r>
        </a:p>
        <a:p>
          <a:pPr marL="0" indent="0" algn="l"/>
          <a:r>
            <a:rPr lang="de-DE" sz="1100" b="0" u="none" baseline="0">
              <a:solidFill>
                <a:schemeClr val="dk1"/>
              </a:solidFill>
              <a:latin typeface="+mn-lt"/>
              <a:ea typeface="+mn-ea"/>
              <a:cs typeface="+mn-cs"/>
            </a:rPr>
            <a:t>- Das Temperaturniveau des Wärmenutzers (i. d. R. der Heizkreis) und der KWK-Anlage müssen aufeinander abgestimmt sein.</a:t>
          </a:r>
        </a:p>
        <a:p>
          <a:pPr marL="0" indent="0" algn="l"/>
          <a:r>
            <a:rPr lang="de-DE" sz="1100" b="0" u="none" baseline="0">
              <a:solidFill>
                <a:schemeClr val="dk1"/>
              </a:solidFill>
              <a:latin typeface="+mn-lt"/>
              <a:ea typeface="+mn-ea"/>
              <a:cs typeface="+mn-cs"/>
            </a:rPr>
            <a:t>- Es werden lediglich Erdgas-BHKW in der Rechnung berücksichtigt.</a:t>
          </a:r>
        </a:p>
        <a:p>
          <a:pPr marL="0" indent="0" algn="l"/>
          <a:r>
            <a:rPr lang="de-DE" sz="1100" b="0" u="none" baseline="0">
              <a:solidFill>
                <a:schemeClr val="dk1"/>
              </a:solidFill>
              <a:latin typeface="+mn-lt"/>
              <a:ea typeface="+mn-ea"/>
              <a:cs typeface="+mn-cs"/>
            </a:rPr>
            <a:t>- KWK-Impulsprogramm, Energiesteuerrückerstattungsgesetz, Einspeisevergütung und KWK-Zuschlag für erzeugten Strom laut dem KWK-Gesetz 2016, Stromnetzentgeltverordnung, Stromsteuergesetz und das EEG 2014 werden berücksichtigt.</a:t>
          </a:r>
        </a:p>
        <a:p>
          <a:pPr marL="0" indent="0" algn="l"/>
          <a:r>
            <a:rPr lang="de-DE" sz="1100" b="0" u="none" baseline="0">
              <a:solidFill>
                <a:schemeClr val="dk1"/>
              </a:solidFill>
              <a:latin typeface="+mn-lt"/>
              <a:ea typeface="+mn-ea"/>
              <a:cs typeface="+mn-cs"/>
            </a:rPr>
            <a:t>- Preisänderungen beispielsweise von Energiekosten in den Folgejahren wurden nicht berücksichtigt.</a:t>
          </a:r>
        </a:p>
        <a:p>
          <a:pPr marL="0" indent="0" algn="l"/>
          <a:r>
            <a:rPr lang="de-DE" sz="1100" b="0" u="none" baseline="0">
              <a:solidFill>
                <a:schemeClr val="dk1"/>
              </a:solidFill>
              <a:latin typeface="+mn-lt"/>
              <a:ea typeface="+mn-ea"/>
              <a:cs typeface="+mn-cs"/>
            </a:rPr>
            <a:t>- Für die Wirkungsgrade, Anschaffungskosten, sowie Kosten für Wartung und Instandsetzung wurde auf die Daten der BHKW-Kenndaten 2014/2015 zurückgegriffen.</a:t>
          </a:r>
        </a:p>
        <a:p>
          <a:pPr marL="0" indent="0" algn="l"/>
          <a:endParaRPr lang="de-DE" sz="1100" b="0" u="none" baseline="0">
            <a:solidFill>
              <a:schemeClr val="dk1"/>
            </a:solidFill>
            <a:latin typeface="+mn-lt"/>
            <a:ea typeface="+mn-ea"/>
            <a:cs typeface="+mn-cs"/>
          </a:endParaRPr>
        </a:p>
        <a:p>
          <a:pPr marL="0" indent="0" algn="l"/>
          <a:r>
            <a:rPr lang="de-DE" sz="1100" b="0" u="none">
              <a:solidFill>
                <a:schemeClr val="dk1"/>
              </a:solidFill>
              <a:latin typeface="+mn-lt"/>
              <a:ea typeface="+mn-ea"/>
              <a:cs typeface="+mn-cs"/>
            </a:rPr>
            <a:t>Wir hoffen, dass Ihnen das Programm bei Ihren Überlegungen behilflich sein wird.</a:t>
          </a:r>
        </a:p>
        <a:p>
          <a:pPr marL="0" indent="0" algn="l"/>
          <a:r>
            <a:rPr lang="de-DE" sz="1100" b="0" u="none">
              <a:solidFill>
                <a:schemeClr val="dk1"/>
              </a:solidFill>
              <a:latin typeface="+mn-lt"/>
              <a:ea typeface="+mn-ea"/>
              <a:cs typeface="+mn-cs"/>
            </a:rPr>
            <a:t>Für Rückfragen und</a:t>
          </a:r>
          <a:r>
            <a:rPr lang="de-DE" sz="1100" b="0" u="none" baseline="0">
              <a:solidFill>
                <a:schemeClr val="dk1"/>
              </a:solidFill>
              <a:latin typeface="+mn-lt"/>
              <a:ea typeface="+mn-ea"/>
              <a:cs typeface="+mn-cs"/>
            </a:rPr>
            <a:t> Anregungen s</a:t>
          </a:r>
          <a:r>
            <a:rPr lang="de-DE" sz="1100" b="0" u="none">
              <a:solidFill>
                <a:schemeClr val="dk1"/>
              </a:solidFill>
              <a:latin typeface="+mn-lt"/>
              <a:ea typeface="+mn-ea"/>
              <a:cs typeface="+mn-cs"/>
            </a:rPr>
            <a:t>tehen wir gern </a:t>
          </a:r>
          <a:r>
            <a:rPr lang="de-DE" sz="1100" b="0" u="none" baseline="0">
              <a:solidFill>
                <a:schemeClr val="dk1"/>
              </a:solidFill>
              <a:latin typeface="+mn-lt"/>
              <a:ea typeface="+mn-ea"/>
              <a:cs typeface="+mn-cs"/>
            </a:rPr>
            <a:t>zur Verfügung.</a:t>
          </a:r>
        </a:p>
        <a:p>
          <a:pPr marL="0" indent="0" algn="l"/>
          <a:endParaRPr lang="de-DE" sz="1100" b="1" u="sng">
            <a:solidFill>
              <a:schemeClr val="dk1"/>
            </a:solidFill>
            <a:latin typeface="+mn-lt"/>
            <a:ea typeface="+mn-ea"/>
            <a:cs typeface="+mn-cs"/>
          </a:endParaRPr>
        </a:p>
        <a:p>
          <a:pPr marL="0" indent="0" algn="l"/>
          <a:r>
            <a:rPr lang="de-DE" sz="1100" b="1" u="sng">
              <a:solidFill>
                <a:schemeClr val="dk1"/>
              </a:solidFill>
              <a:latin typeface="+mn-lt"/>
              <a:ea typeface="+mn-ea"/>
              <a:cs typeface="+mn-cs"/>
            </a:rPr>
            <a:t>ASUE</a:t>
          </a:r>
        </a:p>
        <a:p>
          <a:pPr algn="l"/>
          <a:r>
            <a:rPr lang="de-DE" sz="1100">
              <a:solidFill>
                <a:schemeClr val="dk1"/>
              </a:solidFill>
              <a:latin typeface="+mn-lt"/>
              <a:ea typeface="+mn-ea"/>
              <a:cs typeface="+mn-cs"/>
            </a:rPr>
            <a:t>Arbeitsgemeinschaft für sparsamen und umweltfreundlichen Energieverbrauch e. V. (</a:t>
          </a:r>
          <a:r>
            <a:rPr lang="de-DE" sz="1100">
              <a:solidFill>
                <a:schemeClr val="dk1"/>
              </a:solidFill>
              <a:effectLst/>
              <a:latin typeface="+mn-lt"/>
              <a:ea typeface="+mn-ea"/>
              <a:cs typeface="+mn-cs"/>
            </a:rPr>
            <a:t>ASUE)</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Robert-Koch-Platz 4</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D-10115 Berlin</a:t>
          </a:r>
        </a:p>
        <a:p>
          <a:pPr algn="l"/>
          <a:r>
            <a:rPr lang="de-DE" sz="1100">
              <a:solidFill>
                <a:schemeClr val="dk1"/>
              </a:solidFill>
              <a:effectLst/>
              <a:latin typeface="+mn-lt"/>
              <a:ea typeface="+mn-ea"/>
              <a:cs typeface="+mn-cs"/>
            </a:rPr>
            <a:t>Telefon: 0 30 / 22 19 13 49-0</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Telefax: 0 30 / 22 19 13 49-9</a:t>
          </a:r>
        </a:p>
        <a:p>
          <a:pPr algn="l"/>
          <a:r>
            <a:rPr lang="de-DE" sz="1100">
              <a:solidFill>
                <a:schemeClr val="dk1"/>
              </a:solidFill>
              <a:effectLst/>
              <a:latin typeface="+mn-lt"/>
              <a:ea typeface="+mn-ea"/>
              <a:cs typeface="+mn-cs"/>
            </a:rPr>
            <a:t>E-Mail: info@asue.de</a:t>
          </a:r>
        </a:p>
        <a:p>
          <a:pPr marL="0" indent="0" algn="l"/>
          <a:r>
            <a:rPr lang="de-DE" sz="1100">
              <a:solidFill>
                <a:schemeClr val="dk1"/>
              </a:solidFill>
              <a:latin typeface="+mn-lt"/>
              <a:ea typeface="+mn-ea"/>
              <a:cs typeface="+mn-cs"/>
            </a:rPr>
            <a:t>Internet: http://www.asue.de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7</xdr:row>
          <xdr:rowOff>180975</xdr:rowOff>
        </xdr:from>
        <xdr:to>
          <xdr:col>2</xdr:col>
          <xdr:colOff>228600</xdr:colOff>
          <xdr:row>8</xdr:row>
          <xdr:rowOff>180975</xdr:rowOff>
        </xdr:to>
        <xdr:sp macro="" textlink="">
          <xdr:nvSpPr>
            <xdr:cNvPr id="9221" name="Drop Down 5" hidden="1">
              <a:extLst>
                <a:ext uri="{63B3BB69-23CF-44E3-9099-C40C66FF867C}">
                  <a14:compatExt spid="_x0000_s9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7</xdr:row>
          <xdr:rowOff>0</xdr:rowOff>
        </xdr:from>
        <xdr:to>
          <xdr:col>2</xdr:col>
          <xdr:colOff>228600</xdr:colOff>
          <xdr:row>7</xdr:row>
          <xdr:rowOff>180975</xdr:rowOff>
        </xdr:to>
        <xdr:sp macro="" textlink="">
          <xdr:nvSpPr>
            <xdr:cNvPr id="9220" name="Drop Down 4"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23812</xdr:colOff>
      <xdr:row>17</xdr:row>
      <xdr:rowOff>12738</xdr:rowOff>
    </xdr:from>
    <xdr:to>
      <xdr:col>5</xdr:col>
      <xdr:colOff>190500</xdr:colOff>
      <xdr:row>34</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250292</xdr:colOff>
      <xdr:row>17</xdr:row>
      <xdr:rowOff>16179</xdr:rowOff>
    </xdr:from>
    <xdr:to>
      <xdr:col>12</xdr:col>
      <xdr:colOff>47625</xdr:colOff>
      <xdr:row>33</xdr:row>
      <xdr:rowOff>178594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121705</xdr:colOff>
      <xdr:row>17</xdr:row>
      <xdr:rowOff>11907</xdr:rowOff>
    </xdr:from>
    <xdr:to>
      <xdr:col>19</xdr:col>
      <xdr:colOff>71437</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17199</xdr:colOff>
      <xdr:row>1</xdr:row>
      <xdr:rowOff>12699</xdr:rowOff>
    </xdr:from>
    <xdr:to>
      <xdr:col>23</xdr:col>
      <xdr:colOff>740833</xdr:colOff>
      <xdr:row>16</xdr:row>
      <xdr:rowOff>31750</xdr:rowOff>
    </xdr:to>
    <xdr:graphicFrame macro="">
      <xdr:nvGraphicFramePr>
        <xdr:cNvPr id="2"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730251</xdr:colOff>
      <xdr:row>0</xdr:row>
      <xdr:rowOff>186002</xdr:rowOff>
    </xdr:from>
    <xdr:to>
      <xdr:col>16</xdr:col>
      <xdr:colOff>21167</xdr:colOff>
      <xdr:row>16</xdr:row>
      <xdr:rowOff>18002</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645583</xdr:colOff>
      <xdr:row>17</xdr:row>
      <xdr:rowOff>6350</xdr:rowOff>
    </xdr:from>
    <xdr:to>
      <xdr:col>24</xdr:col>
      <xdr:colOff>10583</xdr:colOff>
      <xdr:row>39</xdr:row>
      <xdr:rowOff>10583</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730250</xdr:colOff>
      <xdr:row>16</xdr:row>
      <xdr:rowOff>179917</xdr:rowOff>
    </xdr:from>
    <xdr:to>
      <xdr:col>13</xdr:col>
      <xdr:colOff>751417</xdr:colOff>
      <xdr:row>39</xdr:row>
      <xdr:rowOff>42333</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751417</xdr:colOff>
      <xdr:row>1</xdr:row>
      <xdr:rowOff>10582</xdr:rowOff>
    </xdr:from>
    <xdr:to>
      <xdr:col>7</xdr:col>
      <xdr:colOff>751416</xdr:colOff>
      <xdr:row>16</xdr:row>
      <xdr:rowOff>33082</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41</xdr:row>
      <xdr:rowOff>0</xdr:rowOff>
    </xdr:from>
    <xdr:to>
      <xdr:col>15</xdr:col>
      <xdr:colOff>464343</xdr:colOff>
      <xdr:row>69</xdr:row>
      <xdr:rowOff>151210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751417</xdr:colOff>
      <xdr:row>71</xdr:row>
      <xdr:rowOff>158750</xdr:rowOff>
    </xdr:from>
    <xdr:to>
      <xdr:col>24</xdr:col>
      <xdr:colOff>550334</xdr:colOff>
      <xdr:row>105</xdr:row>
      <xdr:rowOff>59929</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aktikant1\AppData\Local\Microsoft\Windows\Temporary%20Internet%20Files\Content.Outlook\BWHQ2UNQ\150522_Kosten%20und%20Erl&#246;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gebnisse"/>
      <sheetName val="Kosten u Erlöse"/>
      <sheetName val="Hilfsblatt"/>
      <sheetName val="Deckungsbeitrag"/>
      <sheetName val="Deckungsbeitrag_2"/>
      <sheetName val="spez.Kosten und Strompreis"/>
    </sheetNames>
    <sheetDataSet>
      <sheetData sheetId="0"/>
      <sheetData sheetId="1">
        <row r="32">
          <cell r="F32">
            <v>2.375E-2</v>
          </cell>
        </row>
      </sheetData>
      <sheetData sheetId="2" refreshError="1"/>
      <sheetData sheetId="3" refreshError="1"/>
      <sheetData sheetId="4" refreshError="1"/>
      <sheetData sheetId="5">
        <row r="3">
          <cell r="B3" t="str">
            <v>spez. Investitionskosten (einschließ. Impulsprogramm)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ex.com/de/marktdaten/strom/spotmarkt/kwk-inde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47"/>
  <sheetViews>
    <sheetView tabSelected="1" workbookViewId="0">
      <selection activeCell="A2" sqref="A2"/>
    </sheetView>
  </sheetViews>
  <sheetFormatPr baseColWidth="10" defaultRowHeight="15" x14ac:dyDescent="0.25"/>
  <sheetData>
    <row r="1" spans="1:14" ht="14.45" x14ac:dyDescent="0.3">
      <c r="A1" s="378" t="s">
        <v>217</v>
      </c>
      <c r="B1" s="378"/>
      <c r="C1" s="378"/>
      <c r="D1" s="378"/>
      <c r="E1" s="378"/>
      <c r="F1" s="378"/>
      <c r="G1" s="378"/>
      <c r="H1" s="378"/>
      <c r="I1" s="378"/>
      <c r="J1" s="378"/>
      <c r="K1" s="378"/>
      <c r="L1" s="378"/>
      <c r="M1" s="378"/>
      <c r="N1" s="378"/>
    </row>
    <row r="2" spans="1:14" ht="14.45" x14ac:dyDescent="0.3">
      <c r="A2" s="281"/>
      <c r="B2" s="281"/>
      <c r="C2" s="281"/>
      <c r="D2" s="281"/>
      <c r="E2" s="281"/>
      <c r="F2" s="281"/>
      <c r="G2" s="281"/>
      <c r="H2" s="281"/>
      <c r="I2" s="281"/>
      <c r="J2" s="281"/>
      <c r="K2" s="281"/>
      <c r="L2" s="281"/>
      <c r="M2" s="281"/>
      <c r="N2" s="281"/>
    </row>
    <row r="3" spans="1:14" ht="14.45" x14ac:dyDescent="0.3">
      <c r="A3" s="281"/>
      <c r="B3" s="281"/>
      <c r="C3" s="281"/>
      <c r="D3" s="281"/>
      <c r="E3" s="281"/>
      <c r="F3" s="281"/>
      <c r="G3" s="281"/>
      <c r="H3" s="281"/>
      <c r="I3" s="281"/>
      <c r="J3" s="281"/>
      <c r="K3" s="281"/>
      <c r="L3" s="281"/>
      <c r="M3" s="281"/>
      <c r="N3" s="281"/>
    </row>
    <row r="4" spans="1:14" ht="14.45" x14ac:dyDescent="0.3">
      <c r="A4" s="281"/>
      <c r="B4" s="281"/>
      <c r="C4" s="281"/>
      <c r="D4" s="281"/>
      <c r="E4" s="281"/>
      <c r="F4" s="281"/>
      <c r="G4" s="281"/>
      <c r="H4" s="281"/>
      <c r="I4" s="281"/>
      <c r="J4" s="281"/>
      <c r="K4" s="281"/>
      <c r="L4" s="281"/>
      <c r="M4" s="281"/>
      <c r="N4" s="281"/>
    </row>
    <row r="5" spans="1:14" ht="14.45" x14ac:dyDescent="0.3">
      <c r="A5" s="281"/>
      <c r="B5" s="281"/>
      <c r="C5" s="281"/>
      <c r="D5" s="281"/>
      <c r="E5" s="281"/>
      <c r="F5" s="281"/>
      <c r="G5" s="281"/>
      <c r="H5" s="281"/>
      <c r="I5" s="281"/>
      <c r="J5" s="281"/>
      <c r="K5" s="281"/>
      <c r="L5" s="281"/>
      <c r="M5" s="281"/>
      <c r="N5" s="281"/>
    </row>
    <row r="6" spans="1:14" ht="14.45" x14ac:dyDescent="0.3">
      <c r="A6" s="281"/>
      <c r="B6" s="281"/>
      <c r="C6" s="281"/>
      <c r="D6" s="281"/>
      <c r="E6" s="281"/>
      <c r="F6" s="281"/>
      <c r="G6" s="281"/>
      <c r="H6" s="281"/>
      <c r="I6" s="281"/>
      <c r="J6" s="281"/>
      <c r="K6" s="281"/>
      <c r="L6" s="281"/>
      <c r="M6" s="281"/>
      <c r="N6" s="281"/>
    </row>
    <row r="7" spans="1:14" ht="14.45" x14ac:dyDescent="0.3">
      <c r="A7" s="281"/>
      <c r="B7" s="281"/>
      <c r="C7" s="281"/>
      <c r="D7" s="281"/>
      <c r="E7" s="281"/>
      <c r="F7" s="281"/>
      <c r="G7" s="281"/>
      <c r="H7" s="281"/>
      <c r="I7" s="281"/>
      <c r="J7" s="281"/>
      <c r="K7" s="281"/>
      <c r="L7" s="281"/>
      <c r="M7" s="281"/>
      <c r="N7" s="281"/>
    </row>
    <row r="8" spans="1:14" ht="14.45" x14ac:dyDescent="0.3">
      <c r="A8" s="281"/>
      <c r="B8" s="281"/>
      <c r="C8" s="281"/>
      <c r="D8" s="281"/>
      <c r="E8" s="281"/>
      <c r="F8" s="281"/>
      <c r="G8" s="281"/>
      <c r="H8" s="281"/>
      <c r="I8" s="281"/>
      <c r="J8" s="281"/>
      <c r="K8" s="281"/>
      <c r="L8" s="281"/>
      <c r="M8" s="281"/>
      <c r="N8" s="281"/>
    </row>
    <row r="9" spans="1:14" ht="14.45" x14ac:dyDescent="0.3">
      <c r="A9" s="281"/>
      <c r="B9" s="281"/>
      <c r="C9" s="281"/>
      <c r="D9" s="281"/>
      <c r="E9" s="281"/>
      <c r="F9" s="281"/>
      <c r="G9" s="281"/>
      <c r="H9" s="281"/>
      <c r="I9" s="281"/>
      <c r="J9" s="281"/>
      <c r="K9" s="281"/>
      <c r="L9" s="281"/>
      <c r="M9" s="281"/>
      <c r="N9" s="281"/>
    </row>
    <row r="10" spans="1:14" ht="14.45" x14ac:dyDescent="0.3">
      <c r="A10" s="281"/>
      <c r="B10" s="281"/>
      <c r="C10" s="281"/>
      <c r="D10" s="281"/>
      <c r="E10" s="281"/>
      <c r="F10" s="281"/>
      <c r="G10" s="281"/>
      <c r="H10" s="281"/>
      <c r="I10" s="281"/>
      <c r="J10" s="281"/>
      <c r="K10" s="281"/>
      <c r="L10" s="281"/>
      <c r="M10" s="281"/>
      <c r="N10" s="281"/>
    </row>
    <row r="11" spans="1:14" ht="14.45" x14ac:dyDescent="0.3">
      <c r="A11" s="281"/>
      <c r="B11" s="281"/>
      <c r="C11" s="281"/>
      <c r="D11" s="281"/>
      <c r="E11" s="281"/>
      <c r="F11" s="281"/>
      <c r="G11" s="281"/>
      <c r="H11" s="281"/>
      <c r="I11" s="281"/>
      <c r="J11" s="281"/>
      <c r="K11" s="281"/>
      <c r="L11" s="281"/>
      <c r="M11" s="281"/>
      <c r="N11" s="281"/>
    </row>
    <row r="12" spans="1:14" ht="14.45" x14ac:dyDescent="0.3">
      <c r="A12" s="281"/>
      <c r="B12" s="281"/>
      <c r="C12" s="281"/>
      <c r="D12" s="281"/>
      <c r="E12" s="281"/>
      <c r="F12" s="281"/>
      <c r="G12" s="281"/>
      <c r="H12" s="281"/>
      <c r="I12" s="281"/>
      <c r="J12" s="281"/>
      <c r="K12" s="281"/>
      <c r="L12" s="281"/>
      <c r="M12" s="281"/>
      <c r="N12" s="281"/>
    </row>
    <row r="13" spans="1:14" ht="14.45" x14ac:dyDescent="0.3">
      <c r="A13" s="281"/>
      <c r="B13" s="281"/>
      <c r="C13" s="281"/>
      <c r="D13" s="281"/>
      <c r="E13" s="281"/>
      <c r="F13" s="281"/>
      <c r="G13" s="281"/>
      <c r="H13" s="281"/>
      <c r="I13" s="281"/>
      <c r="J13" s="281"/>
      <c r="K13" s="281"/>
      <c r="L13" s="281"/>
      <c r="M13" s="281"/>
      <c r="N13" s="281"/>
    </row>
    <row r="14" spans="1:14" ht="14.45" x14ac:dyDescent="0.3">
      <c r="A14" s="281"/>
      <c r="B14" s="281"/>
      <c r="C14" s="281"/>
      <c r="D14" s="281"/>
      <c r="E14" s="281"/>
      <c r="F14" s="281"/>
      <c r="G14" s="281"/>
      <c r="H14" s="281"/>
      <c r="I14" s="281"/>
      <c r="J14" s="281"/>
      <c r="K14" s="281"/>
      <c r="L14" s="281"/>
      <c r="M14" s="281"/>
      <c r="N14" s="281"/>
    </row>
    <row r="15" spans="1:14" ht="14.45" x14ac:dyDescent="0.3">
      <c r="A15" s="281"/>
      <c r="B15" s="281"/>
      <c r="C15" s="281"/>
      <c r="D15" s="281"/>
      <c r="E15" s="281"/>
      <c r="F15" s="281"/>
      <c r="G15" s="281"/>
      <c r="H15" s="281"/>
      <c r="I15" s="281"/>
      <c r="J15" s="281"/>
      <c r="K15" s="281"/>
      <c r="L15" s="281"/>
      <c r="M15" s="281"/>
      <c r="N15" s="281"/>
    </row>
    <row r="16" spans="1:14" ht="14.45" x14ac:dyDescent="0.3">
      <c r="A16" s="281"/>
      <c r="B16" s="281"/>
      <c r="C16" s="281"/>
      <c r="D16" s="281"/>
      <c r="E16" s="281"/>
      <c r="F16" s="281"/>
      <c r="G16" s="281"/>
      <c r="H16" s="281"/>
      <c r="I16" s="281"/>
      <c r="J16" s="281"/>
      <c r="K16" s="281"/>
      <c r="L16" s="281"/>
      <c r="M16" s="281"/>
      <c r="N16" s="281"/>
    </row>
    <row r="17" spans="1:14" ht="14.45" x14ac:dyDescent="0.3">
      <c r="A17" s="281"/>
      <c r="B17" s="281"/>
      <c r="C17" s="281"/>
      <c r="D17" s="281"/>
      <c r="E17" s="281"/>
      <c r="F17" s="281"/>
      <c r="G17" s="281"/>
      <c r="H17" s="281"/>
      <c r="I17" s="281"/>
      <c r="J17" s="281"/>
      <c r="K17" s="281"/>
      <c r="L17" s="281"/>
      <c r="M17" s="281"/>
      <c r="N17" s="281"/>
    </row>
    <row r="18" spans="1:14" ht="14.45" x14ac:dyDescent="0.3">
      <c r="A18" s="281"/>
      <c r="B18" s="281"/>
      <c r="C18" s="281"/>
      <c r="D18" s="281"/>
      <c r="E18" s="281"/>
      <c r="F18" s="281"/>
      <c r="G18" s="281"/>
      <c r="H18" s="281"/>
      <c r="I18" s="281"/>
      <c r="J18" s="281"/>
      <c r="K18" s="281"/>
      <c r="L18" s="281"/>
      <c r="M18" s="281"/>
      <c r="N18" s="281"/>
    </row>
    <row r="19" spans="1:14" ht="14.45" x14ac:dyDescent="0.3">
      <c r="A19" s="281"/>
      <c r="B19" s="281"/>
      <c r="C19" s="281"/>
      <c r="D19" s="281"/>
      <c r="E19" s="281"/>
      <c r="F19" s="281"/>
      <c r="G19" s="281"/>
      <c r="H19" s="281"/>
      <c r="I19" s="281"/>
      <c r="J19" s="281"/>
      <c r="K19" s="281"/>
      <c r="L19" s="281"/>
      <c r="M19" s="281"/>
      <c r="N19" s="281"/>
    </row>
    <row r="20" spans="1:14" ht="14.45" x14ac:dyDescent="0.3">
      <c r="A20" s="281"/>
      <c r="B20" s="281"/>
      <c r="C20" s="281"/>
      <c r="D20" s="281"/>
      <c r="E20" s="281"/>
      <c r="F20" s="281"/>
      <c r="G20" s="281"/>
      <c r="H20" s="281"/>
      <c r="I20" s="281"/>
      <c r="J20" s="281"/>
      <c r="K20" s="281"/>
      <c r="L20" s="281"/>
      <c r="M20" s="281"/>
      <c r="N20" s="281"/>
    </row>
    <row r="21" spans="1:14" ht="14.45" x14ac:dyDescent="0.3">
      <c r="A21" s="281"/>
      <c r="B21" s="281"/>
      <c r="C21" s="281"/>
      <c r="D21" s="281"/>
      <c r="E21" s="281"/>
      <c r="F21" s="281"/>
      <c r="G21" s="281"/>
      <c r="H21" s="281"/>
      <c r="I21" s="281"/>
      <c r="J21" s="281"/>
      <c r="K21" s="281"/>
      <c r="L21" s="281"/>
      <c r="M21" s="281"/>
      <c r="N21" s="281"/>
    </row>
    <row r="22" spans="1:14" ht="14.45" x14ac:dyDescent="0.3">
      <c r="A22" s="281"/>
      <c r="B22" s="281"/>
      <c r="C22" s="281"/>
      <c r="D22" s="281"/>
      <c r="E22" s="281"/>
      <c r="F22" s="281"/>
      <c r="G22" s="281"/>
      <c r="H22" s="281"/>
      <c r="I22" s="281"/>
      <c r="J22" s="281"/>
      <c r="K22" s="281"/>
      <c r="L22" s="281"/>
      <c r="M22" s="281"/>
      <c r="N22" s="281"/>
    </row>
    <row r="23" spans="1:14" ht="14.45" x14ac:dyDescent="0.3">
      <c r="A23" s="281"/>
      <c r="B23" s="281"/>
      <c r="C23" s="281"/>
      <c r="D23" s="281"/>
      <c r="E23" s="281"/>
      <c r="F23" s="281"/>
      <c r="G23" s="281"/>
      <c r="H23" s="281"/>
      <c r="I23" s="281"/>
      <c r="J23" s="281"/>
      <c r="K23" s="281"/>
      <c r="L23" s="281"/>
      <c r="M23" s="281"/>
      <c r="N23" s="281"/>
    </row>
    <row r="24" spans="1:14" ht="14.45" x14ac:dyDescent="0.3">
      <c r="A24" s="281"/>
      <c r="B24" s="281"/>
      <c r="C24" s="281"/>
      <c r="D24" s="281"/>
      <c r="E24" s="281"/>
      <c r="F24" s="281"/>
      <c r="G24" s="281"/>
      <c r="H24" s="281"/>
      <c r="I24" s="281"/>
      <c r="J24" s="281"/>
      <c r="K24" s="281"/>
      <c r="L24" s="281"/>
      <c r="M24" s="281"/>
      <c r="N24" s="281"/>
    </row>
    <row r="25" spans="1:14" ht="14.45" x14ac:dyDescent="0.3">
      <c r="A25" s="281"/>
      <c r="B25" s="281"/>
      <c r="C25" s="281"/>
      <c r="D25" s="281"/>
      <c r="E25" s="281"/>
      <c r="F25" s="281"/>
      <c r="G25" s="281"/>
      <c r="H25" s="281"/>
      <c r="I25" s="281"/>
      <c r="J25" s="281"/>
      <c r="K25" s="281"/>
      <c r="L25" s="281"/>
      <c r="M25" s="281"/>
      <c r="N25" s="281"/>
    </row>
    <row r="26" spans="1:14" ht="14.45" x14ac:dyDescent="0.3">
      <c r="A26" s="281"/>
      <c r="B26" s="281"/>
      <c r="C26" s="281"/>
      <c r="D26" s="281"/>
      <c r="E26" s="281"/>
      <c r="F26" s="281"/>
      <c r="G26" s="281"/>
      <c r="H26" s="281"/>
      <c r="I26" s="281"/>
      <c r="J26" s="281"/>
      <c r="K26" s="281"/>
      <c r="L26" s="281"/>
      <c r="M26" s="281"/>
      <c r="N26" s="281"/>
    </row>
    <row r="27" spans="1:14" ht="14.45" x14ac:dyDescent="0.3">
      <c r="A27" s="281"/>
      <c r="B27" s="281"/>
      <c r="C27" s="281"/>
      <c r="D27" s="281"/>
      <c r="E27" s="281"/>
      <c r="F27" s="281"/>
      <c r="G27" s="281"/>
      <c r="H27" s="281"/>
      <c r="I27" s="281"/>
      <c r="J27" s="281"/>
      <c r="K27" s="281"/>
      <c r="L27" s="281"/>
      <c r="M27" s="281"/>
      <c r="N27" s="281"/>
    </row>
    <row r="28" spans="1:14" ht="14.45" x14ac:dyDescent="0.3">
      <c r="A28" s="342"/>
      <c r="B28" s="299"/>
      <c r="C28" s="299"/>
      <c r="D28" s="299"/>
      <c r="E28" s="299"/>
      <c r="F28" s="299"/>
      <c r="G28" s="299"/>
      <c r="H28" s="299"/>
      <c r="I28" s="299"/>
      <c r="J28" s="299"/>
      <c r="K28" s="299"/>
      <c r="L28" s="299"/>
      <c r="M28" s="299"/>
      <c r="N28" s="299"/>
    </row>
    <row r="29" spans="1:14" ht="14.45" x14ac:dyDescent="0.3">
      <c r="A29" s="342"/>
      <c r="B29" s="299"/>
      <c r="C29" s="299"/>
      <c r="D29" s="299"/>
      <c r="E29" s="299"/>
      <c r="F29" s="299"/>
      <c r="G29" s="299"/>
      <c r="H29" s="299"/>
      <c r="I29" s="299"/>
      <c r="J29" s="299"/>
      <c r="K29" s="299"/>
      <c r="L29" s="299"/>
      <c r="M29" s="299"/>
      <c r="N29" s="299"/>
    </row>
    <row r="30" spans="1:14" x14ac:dyDescent="0.25">
      <c r="A30" s="342"/>
      <c r="B30" s="299"/>
      <c r="C30" s="299"/>
      <c r="D30" s="299"/>
      <c r="E30" s="299"/>
      <c r="F30" s="299"/>
      <c r="G30" s="299"/>
      <c r="H30" s="299"/>
      <c r="I30" s="299"/>
      <c r="J30" s="299"/>
      <c r="K30" s="299"/>
      <c r="L30" s="299"/>
      <c r="M30" s="299"/>
      <c r="N30" s="299"/>
    </row>
    <row r="31" spans="1:14" x14ac:dyDescent="0.25">
      <c r="A31" s="342"/>
      <c r="B31" s="299"/>
      <c r="C31" s="299"/>
      <c r="D31" s="299"/>
      <c r="E31" s="299"/>
      <c r="F31" s="299"/>
      <c r="G31" s="299"/>
      <c r="H31" s="299"/>
      <c r="I31" s="299"/>
      <c r="J31" s="299"/>
      <c r="K31" s="299"/>
      <c r="L31" s="299"/>
      <c r="M31" s="299"/>
      <c r="N31" s="299"/>
    </row>
    <row r="32" spans="1:14" x14ac:dyDescent="0.25">
      <c r="A32" s="342"/>
      <c r="B32" s="299"/>
      <c r="C32" s="299"/>
      <c r="D32" s="299"/>
      <c r="E32" s="299"/>
      <c r="F32" s="299"/>
      <c r="G32" s="299"/>
      <c r="H32" s="299"/>
      <c r="I32" s="299"/>
      <c r="J32" s="299"/>
      <c r="K32" s="299"/>
      <c r="L32" s="299"/>
      <c r="M32" s="299"/>
      <c r="N32" s="299"/>
    </row>
    <row r="33" spans="1:14" x14ac:dyDescent="0.25">
      <c r="A33" s="342"/>
      <c r="B33" s="299"/>
      <c r="C33" s="299"/>
      <c r="D33" s="299"/>
      <c r="E33" s="299"/>
      <c r="F33" s="299"/>
      <c r="G33" s="299"/>
      <c r="H33" s="299"/>
      <c r="I33" s="299"/>
      <c r="J33" s="299"/>
      <c r="K33" s="299"/>
      <c r="L33" s="299"/>
      <c r="M33" s="299"/>
      <c r="N33" s="299"/>
    </row>
    <row r="34" spans="1:14" x14ac:dyDescent="0.25">
      <c r="A34" s="342"/>
      <c r="B34" s="299"/>
      <c r="C34" s="299"/>
      <c r="D34" s="299"/>
      <c r="E34" s="299"/>
      <c r="F34" s="299"/>
      <c r="G34" s="299"/>
      <c r="H34" s="299"/>
      <c r="I34" s="299"/>
      <c r="J34" s="299"/>
      <c r="K34" s="299"/>
      <c r="L34" s="299"/>
      <c r="M34" s="299"/>
      <c r="N34" s="299"/>
    </row>
    <row r="35" spans="1:14" x14ac:dyDescent="0.25">
      <c r="A35" s="342"/>
      <c r="B35" s="299"/>
      <c r="C35" s="299"/>
      <c r="D35" s="299"/>
      <c r="E35" s="299"/>
      <c r="F35" s="299"/>
      <c r="G35" s="299"/>
      <c r="H35" s="299"/>
      <c r="I35" s="299"/>
      <c r="J35" s="299"/>
      <c r="K35" s="299"/>
      <c r="L35" s="299"/>
      <c r="M35" s="299"/>
      <c r="N35" s="299"/>
    </row>
    <row r="36" spans="1:14" x14ac:dyDescent="0.25">
      <c r="A36" s="342"/>
      <c r="B36" s="299"/>
      <c r="C36" s="299"/>
      <c r="D36" s="299"/>
      <c r="E36" s="299"/>
      <c r="F36" s="299"/>
      <c r="G36" s="299"/>
      <c r="H36" s="299"/>
      <c r="I36" s="299"/>
      <c r="J36" s="299"/>
      <c r="K36" s="299"/>
      <c r="L36" s="299"/>
      <c r="M36" s="299"/>
      <c r="N36" s="299"/>
    </row>
    <row r="37" spans="1:14" x14ac:dyDescent="0.25">
      <c r="A37" s="342"/>
      <c r="B37" s="299"/>
      <c r="C37" s="299"/>
      <c r="D37" s="299"/>
      <c r="E37" s="299"/>
      <c r="F37" s="299"/>
      <c r="G37" s="299"/>
      <c r="H37" s="299"/>
      <c r="I37" s="299"/>
      <c r="J37" s="299"/>
      <c r="K37" s="299"/>
      <c r="L37" s="299"/>
      <c r="M37" s="299"/>
      <c r="N37" s="299"/>
    </row>
    <row r="38" spans="1:14" x14ac:dyDescent="0.25">
      <c r="A38" s="342"/>
      <c r="B38" s="299"/>
      <c r="C38" s="299"/>
      <c r="D38" s="299"/>
      <c r="E38" s="299"/>
      <c r="F38" s="299"/>
      <c r="G38" s="299"/>
      <c r="H38" s="299"/>
      <c r="I38" s="299"/>
      <c r="J38" s="299"/>
      <c r="K38" s="299"/>
      <c r="L38" s="299"/>
      <c r="M38" s="299"/>
      <c r="N38" s="299"/>
    </row>
    <row r="39" spans="1:14" x14ac:dyDescent="0.25">
      <c r="A39" s="342"/>
      <c r="B39" s="299"/>
      <c r="C39" s="299"/>
      <c r="D39" s="299"/>
      <c r="E39" s="299"/>
      <c r="F39" s="299"/>
      <c r="G39" s="299"/>
      <c r="H39" s="299"/>
      <c r="I39" s="299"/>
      <c r="J39" s="299"/>
      <c r="K39" s="299"/>
      <c r="L39" s="299"/>
      <c r="M39" s="299"/>
      <c r="N39" s="299"/>
    </row>
    <row r="40" spans="1:14" x14ac:dyDescent="0.25">
      <c r="A40" s="281"/>
      <c r="B40" s="281"/>
      <c r="C40" s="281"/>
      <c r="D40" s="281"/>
      <c r="E40" s="281"/>
      <c r="F40" s="281"/>
      <c r="G40" s="281"/>
      <c r="H40" s="281"/>
      <c r="I40" s="281"/>
      <c r="J40" s="281"/>
      <c r="K40" s="281"/>
      <c r="L40" s="281"/>
      <c r="M40" s="281"/>
      <c r="N40" s="281"/>
    </row>
    <row r="41" spans="1:14" x14ac:dyDescent="0.25">
      <c r="A41" s="281"/>
      <c r="B41" s="281"/>
      <c r="C41" s="281"/>
      <c r="D41" s="281"/>
      <c r="E41" s="281"/>
      <c r="F41" s="281"/>
      <c r="G41" s="281"/>
      <c r="H41" s="281"/>
      <c r="I41" s="281"/>
      <c r="J41" s="281"/>
      <c r="K41" s="281"/>
      <c r="L41" s="281"/>
      <c r="M41" s="281"/>
      <c r="N41" s="281"/>
    </row>
    <row r="42" spans="1:14" x14ac:dyDescent="0.25">
      <c r="A42" s="281"/>
      <c r="B42" s="281"/>
      <c r="C42" s="281"/>
      <c r="D42" s="281"/>
      <c r="E42" s="281"/>
      <c r="F42" s="281"/>
      <c r="G42" s="281"/>
      <c r="H42" s="281"/>
      <c r="I42" s="281"/>
      <c r="J42" s="281"/>
      <c r="K42" s="281"/>
      <c r="L42" s="281"/>
      <c r="M42" s="281"/>
      <c r="N42" s="281"/>
    </row>
    <row r="43" spans="1:14" x14ac:dyDescent="0.25">
      <c r="A43" s="281"/>
      <c r="B43" s="281"/>
      <c r="C43" s="281"/>
      <c r="D43" s="281"/>
      <c r="E43" s="281"/>
      <c r="F43" s="281"/>
      <c r="G43" s="281"/>
      <c r="H43" s="281"/>
      <c r="I43" s="281"/>
      <c r="J43" s="281"/>
      <c r="K43" s="281"/>
      <c r="L43" s="281"/>
      <c r="M43" s="281"/>
      <c r="N43" s="281"/>
    </row>
    <row r="44" spans="1:14" x14ac:dyDescent="0.25">
      <c r="A44" s="281"/>
      <c r="B44" s="281"/>
      <c r="C44" s="281"/>
      <c r="D44" s="281"/>
      <c r="E44" s="281"/>
      <c r="F44" s="281"/>
      <c r="G44" s="281"/>
      <c r="H44" s="281"/>
      <c r="I44" s="281"/>
      <c r="J44" s="281"/>
      <c r="K44" s="281"/>
      <c r="L44" s="281"/>
      <c r="M44" s="281"/>
      <c r="N44" s="281"/>
    </row>
    <row r="45" spans="1:14" x14ac:dyDescent="0.25">
      <c r="A45" s="281"/>
      <c r="B45" s="281"/>
      <c r="C45" s="281"/>
      <c r="D45" s="281"/>
      <c r="E45" s="281"/>
      <c r="F45" s="281"/>
      <c r="G45" s="281"/>
      <c r="H45" s="281"/>
      <c r="I45" s="281"/>
      <c r="J45" s="281"/>
      <c r="K45" s="281"/>
      <c r="L45" s="281"/>
      <c r="M45" s="281"/>
      <c r="N45" s="281"/>
    </row>
    <row r="46" spans="1:14" x14ac:dyDescent="0.25">
      <c r="A46" s="281"/>
      <c r="B46" s="281"/>
      <c r="C46" s="281"/>
      <c r="D46" s="281"/>
      <c r="E46" s="281"/>
      <c r="F46" s="281"/>
      <c r="G46" s="281"/>
      <c r="H46" s="281"/>
      <c r="I46" s="281"/>
      <c r="J46" s="281"/>
      <c r="K46" s="281"/>
      <c r="L46" s="281"/>
      <c r="M46" s="281"/>
      <c r="N46" s="281"/>
    </row>
    <row r="47" spans="1:14" x14ac:dyDescent="0.25">
      <c r="A47" s="281"/>
      <c r="B47" s="281"/>
      <c r="C47" s="281"/>
      <c r="D47" s="281"/>
      <c r="E47" s="281"/>
      <c r="F47" s="281"/>
      <c r="G47" s="281"/>
      <c r="H47" s="281"/>
      <c r="I47" s="281"/>
      <c r="J47" s="281"/>
      <c r="K47" s="281"/>
      <c r="L47" s="281"/>
      <c r="M47" s="281"/>
      <c r="N47" s="281"/>
    </row>
  </sheetData>
  <sheetProtection algorithmName="SHA-512" hashValue="Qfx6LtNCh1FNbeNpUfsgY9C94S50YRjUpSyMMcSTiSIC+1OnZdDRl019oVXD6BshOF/Wx1JbaMdLj4kFG011wA==" saltValue="BpX6/d0Y7PjBUaEI50zaww==" spinCount="100000" sheet="1" objects="1" scenarios="1"/>
  <mergeCells count="1">
    <mergeCell ref="A1:N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F68"/>
  <sheetViews>
    <sheetView zoomScale="80" zoomScaleNormal="80" workbookViewId="0"/>
  </sheetViews>
  <sheetFormatPr baseColWidth="10" defaultColWidth="11.42578125" defaultRowHeight="15" x14ac:dyDescent="0.25"/>
  <cols>
    <col min="1" max="1" width="60.5703125" style="203" customWidth="1"/>
    <col min="2" max="2" width="11.28515625" style="203" customWidth="1"/>
    <col min="3" max="3" width="11.42578125" style="203" customWidth="1"/>
    <col min="4" max="18" width="11.42578125" style="203"/>
    <col min="19" max="19" width="11.7109375" style="203" bestFit="1" customWidth="1"/>
    <col min="20" max="20" width="7.28515625" style="203" bestFit="1" customWidth="1"/>
    <col min="21" max="21" width="14.5703125" style="203" bestFit="1" customWidth="1"/>
    <col min="22" max="22" width="27" style="203" bestFit="1" customWidth="1"/>
    <col min="23" max="23" width="9.42578125" style="203" bestFit="1" customWidth="1"/>
    <col min="24" max="24" width="11.42578125" style="203"/>
    <col min="25" max="25" width="32.7109375" style="203" customWidth="1"/>
    <col min="26" max="16384" width="11.42578125" style="203"/>
  </cols>
  <sheetData>
    <row r="1" spans="1:4" ht="30.75" customHeight="1" x14ac:dyDescent="0.25">
      <c r="B1" s="398" t="s">
        <v>191</v>
      </c>
      <c r="C1" s="399"/>
    </row>
    <row r="2" spans="1:4" ht="14.45" x14ac:dyDescent="0.3">
      <c r="A2" s="220" t="s">
        <v>155</v>
      </c>
      <c r="B2" s="400"/>
      <c r="C2" s="401"/>
      <c r="D2" s="250"/>
    </row>
    <row r="3" spans="1:4" ht="14.45" x14ac:dyDescent="0.3">
      <c r="A3" s="230" t="s">
        <v>156</v>
      </c>
      <c r="B3" s="434"/>
      <c r="C3" s="435"/>
      <c r="D3" s="250"/>
    </row>
    <row r="4" spans="1:4" ht="14.45" x14ac:dyDescent="0.3">
      <c r="A4" s="230" t="s">
        <v>157</v>
      </c>
      <c r="B4" s="434"/>
      <c r="C4" s="435"/>
      <c r="D4" s="250"/>
    </row>
    <row r="5" spans="1:4" ht="14.45" x14ac:dyDescent="0.3">
      <c r="A5" s="230" t="s">
        <v>158</v>
      </c>
      <c r="B5" s="402"/>
      <c r="C5" s="403"/>
      <c r="D5" s="250"/>
    </row>
    <row r="6" spans="1:4" ht="14.45" x14ac:dyDescent="0.3">
      <c r="A6" s="230" t="s">
        <v>159</v>
      </c>
      <c r="B6" s="436"/>
      <c r="C6" s="437"/>
      <c r="D6" s="250"/>
    </row>
    <row r="7" spans="1:4" x14ac:dyDescent="0.25">
      <c r="A7" s="61" t="s">
        <v>56</v>
      </c>
      <c r="B7" s="313" t="str">
        <f>IF(AND(B8=2,B9=2),"geben Sie ein Feld mit 'ja' an",IF(AND(B8=1,B9=1),"geben Sie nur ein Feld mit 'ja' an",""))</f>
        <v/>
      </c>
      <c r="C7" s="62"/>
    </row>
    <row r="8" spans="1:4" x14ac:dyDescent="0.25">
      <c r="A8" s="59" t="s">
        <v>57</v>
      </c>
      <c r="B8" s="438">
        <v>2</v>
      </c>
      <c r="C8" s="62"/>
    </row>
    <row r="9" spans="1:4" s="251" customFormat="1" x14ac:dyDescent="0.25">
      <c r="A9" s="60" t="s">
        <v>58</v>
      </c>
      <c r="B9" s="439">
        <v>1</v>
      </c>
    </row>
    <row r="10" spans="1:4" x14ac:dyDescent="0.25">
      <c r="A10" s="61" t="s">
        <v>55</v>
      </c>
      <c r="B10" s="204"/>
      <c r="C10" s="62"/>
    </row>
    <row r="11" spans="1:4" x14ac:dyDescent="0.25">
      <c r="A11" s="205" t="s">
        <v>174</v>
      </c>
      <c r="B11" s="440">
        <v>230</v>
      </c>
      <c r="C11" s="203" t="s">
        <v>59</v>
      </c>
    </row>
    <row r="12" spans="1:4" ht="30" x14ac:dyDescent="0.25">
      <c r="A12" s="332" t="s">
        <v>227</v>
      </c>
      <c r="B12" s="441">
        <v>90</v>
      </c>
      <c r="C12" s="364" t="s">
        <v>205</v>
      </c>
    </row>
    <row r="13" spans="1:4" x14ac:dyDescent="0.25">
      <c r="A13" s="205" t="s">
        <v>76</v>
      </c>
      <c r="B13" s="354">
        <f>B11*B12/1000</f>
        <v>20.7</v>
      </c>
      <c r="C13" s="203" t="s">
        <v>22</v>
      </c>
      <c r="D13" s="62"/>
    </row>
    <row r="14" spans="1:4" ht="30" x14ac:dyDescent="0.25">
      <c r="A14" s="332" t="s">
        <v>228</v>
      </c>
      <c r="B14" s="442">
        <v>5000</v>
      </c>
      <c r="C14" s="333" t="s">
        <v>60</v>
      </c>
      <c r="D14" s="62"/>
    </row>
    <row r="15" spans="1:4" ht="14.45" x14ac:dyDescent="0.3">
      <c r="A15" s="117" t="s">
        <v>225</v>
      </c>
      <c r="B15" s="204"/>
    </row>
    <row r="16" spans="1:4" ht="18" x14ac:dyDescent="0.35">
      <c r="A16" s="205" t="s">
        <v>83</v>
      </c>
      <c r="B16" s="443">
        <v>4</v>
      </c>
      <c r="C16" s="203" t="s">
        <v>221</v>
      </c>
    </row>
    <row r="17" spans="1:32" ht="18" x14ac:dyDescent="0.35">
      <c r="A17" s="205" t="s">
        <v>84</v>
      </c>
      <c r="B17" s="443">
        <v>29</v>
      </c>
      <c r="C17" s="203" t="s">
        <v>219</v>
      </c>
    </row>
    <row r="18" spans="1:32" ht="14.45" x14ac:dyDescent="0.3">
      <c r="A18" s="205" t="s">
        <v>85</v>
      </c>
      <c r="B18" s="444">
        <v>0.5</v>
      </c>
    </row>
    <row r="19" spans="1:32" s="299" customFormat="1" ht="18" x14ac:dyDescent="0.35">
      <c r="A19" s="230" t="s">
        <v>216</v>
      </c>
      <c r="B19" s="445">
        <v>1</v>
      </c>
      <c r="C19" s="299" t="s">
        <v>219</v>
      </c>
    </row>
    <row r="20" spans="1:32" s="299" customFormat="1" x14ac:dyDescent="0.25">
      <c r="A20" s="230" t="s">
        <v>226</v>
      </c>
      <c r="B20" s="446">
        <v>0.02</v>
      </c>
    </row>
    <row r="21" spans="1:32" ht="18" x14ac:dyDescent="0.35">
      <c r="A21" s="300" t="s">
        <v>129</v>
      </c>
      <c r="B21" s="447">
        <v>28.35</v>
      </c>
      <c r="C21" s="203" t="s">
        <v>220</v>
      </c>
    </row>
    <row r="22" spans="1:32" ht="30" customHeight="1" x14ac:dyDescent="0.25">
      <c r="A22" s="303" t="s">
        <v>137</v>
      </c>
      <c r="B22" s="301"/>
    </row>
    <row r="23" spans="1:32" x14ac:dyDescent="0.25">
      <c r="A23"/>
      <c r="B23"/>
      <c r="C23"/>
    </row>
    <row r="24" spans="1:32" ht="18.75" x14ac:dyDescent="0.25">
      <c r="A24" s="395" t="str">
        <f>IF(Berechnung_Diagramme!C27&gt;20,"Ergebnis: Ein BHKW für Ihr Gebäude ist nicht wirtschaftlich.","Ergebnis:")</f>
        <v>Ergebnis:</v>
      </c>
      <c r="B24" s="396"/>
      <c r="C24" s="396"/>
      <c r="D24" s="397"/>
      <c r="E24" s="335"/>
      <c r="F24" s="336"/>
      <c r="H24" s="336"/>
      <c r="U24"/>
      <c r="V24"/>
      <c r="W24"/>
      <c r="X24" s="264"/>
    </row>
    <row r="25" spans="1:32" ht="15.75" x14ac:dyDescent="0.25">
      <c r="A25" s="366" t="str">
        <f>IF(Berechnung_Diagramme!C27&lt;=20,"Ein BHKW mit einer thermischen Leistung von","")</f>
        <v>Ein BHKW mit einer thermischen Leistung von</v>
      </c>
      <c r="B25" s="367">
        <f>IF(Berechnung_Diagramme!C27&lt;=20,Berechnung_Diagramme!C29,"")</f>
        <v>20.966443256074175</v>
      </c>
      <c r="C25" s="368" t="str">
        <f>IF(Berechnung_Diagramme!C27&lt;=20,"kW","")</f>
        <v>kW</v>
      </c>
      <c r="D25" s="369" t="str">
        <f>IF(Berechnung_Diagramme!C27&lt;=20,"und","")</f>
        <v>und</v>
      </c>
      <c r="U25"/>
      <c r="V25"/>
      <c r="W25" s="330"/>
      <c r="X25" s="264"/>
    </row>
    <row r="26" spans="1:32" ht="15.75" x14ac:dyDescent="0.25">
      <c r="A26" s="370" t="str">
        <f>IF(Berechnung_Diagramme!C27&lt;=20,"einer elektrischen Leistung von","")</f>
        <v>einer elektrischen Leistung von</v>
      </c>
      <c r="B26" s="371">
        <f>IF(Berechnung_Diagramme!C27&lt;=20,'Analyse 1'!C4,"")</f>
        <v>9</v>
      </c>
      <c r="C26" s="372" t="str">
        <f>IF(Berechnung_Diagramme!C27&lt;=20,"kW","")</f>
        <v>kW</v>
      </c>
      <c r="D26" s="373" t="str">
        <f>IF(Berechnung_Diagramme!C27&lt;=20,"weist","")</f>
        <v>weist</v>
      </c>
      <c r="U26"/>
      <c r="V26"/>
      <c r="W26" s="330"/>
      <c r="X26" s="264"/>
    </row>
    <row r="27" spans="1:32" ht="15.75" x14ac:dyDescent="0.25">
      <c r="A27" s="374" t="str">
        <f>IF(Berechnung_Diagramme!C27&lt;=20,"die geringste Amortisationszeit auf:","")</f>
        <v>die geringste Amortisationszeit auf:</v>
      </c>
      <c r="B27" s="375">
        <f>IF(Berechnung_Diagramme!C27&lt;=20,Berechnung_Diagramme!C27,"")</f>
        <v>6.4039410492466811</v>
      </c>
      <c r="C27" s="376" t="str">
        <f>IF(Berechnung_Diagramme!C27&lt;=20,"Jahre","")</f>
        <v>Jahre</v>
      </c>
      <c r="D27" s="377"/>
      <c r="U27"/>
      <c r="V27"/>
      <c r="W27" s="330"/>
      <c r="X27" s="264"/>
      <c r="Y27"/>
      <c r="Z27"/>
      <c r="AA27"/>
      <c r="AB27"/>
      <c r="AC27"/>
      <c r="AD27"/>
      <c r="AE27"/>
      <c r="AF27"/>
    </row>
    <row r="28" spans="1:32" x14ac:dyDescent="0.25">
      <c r="B28" s="207"/>
      <c r="C28" s="207"/>
      <c r="D28" s="207"/>
      <c r="E28" s="207"/>
      <c r="F28" s="207"/>
      <c r="G28" s="207"/>
      <c r="U28"/>
      <c r="V28"/>
      <c r="W28" s="330"/>
      <c r="X28" s="264"/>
      <c r="Y28"/>
      <c r="Z28"/>
      <c r="AA28"/>
      <c r="AB28"/>
      <c r="AC28"/>
      <c r="AD28"/>
      <c r="AE28"/>
      <c r="AF28"/>
    </row>
    <row r="29" spans="1:32" customFormat="1" x14ac:dyDescent="0.25">
      <c r="A29" s="203"/>
      <c r="B29" s="207"/>
      <c r="C29" s="203"/>
      <c r="D29" s="203"/>
      <c r="E29" s="203"/>
      <c r="F29" s="203"/>
      <c r="G29" s="203"/>
      <c r="H29" s="203"/>
      <c r="I29" s="203"/>
      <c r="J29" s="203"/>
      <c r="K29" s="203"/>
      <c r="L29" s="203"/>
      <c r="M29" s="203"/>
      <c r="N29" s="203"/>
      <c r="O29" s="203"/>
      <c r="P29" s="203"/>
      <c r="Q29" s="203"/>
      <c r="R29" s="203"/>
      <c r="W29" s="330"/>
      <c r="X29" s="264"/>
      <c r="Y29" s="203"/>
      <c r="Z29" s="203"/>
      <c r="AA29" s="203"/>
      <c r="AB29" s="203"/>
      <c r="AC29" s="203"/>
      <c r="AD29" s="203"/>
      <c r="AE29" s="203"/>
      <c r="AF29" s="203"/>
    </row>
    <row r="30" spans="1:32" s="281" customFormat="1" x14ac:dyDescent="0.25">
      <c r="A30" s="299"/>
      <c r="B30" s="287"/>
      <c r="C30" s="299"/>
      <c r="D30" s="299"/>
      <c r="E30" s="299"/>
      <c r="F30" s="299"/>
      <c r="G30" s="299"/>
      <c r="H30" s="299"/>
      <c r="I30" s="299"/>
      <c r="J30" s="299"/>
      <c r="K30" s="299"/>
      <c r="L30" s="299"/>
      <c r="M30" s="299"/>
      <c r="N30" s="299"/>
      <c r="O30" s="299"/>
      <c r="P30" s="299"/>
      <c r="Q30" s="299"/>
      <c r="R30" s="299"/>
      <c r="W30" s="330"/>
      <c r="X30" s="264"/>
      <c r="Y30" s="299"/>
      <c r="Z30" s="299"/>
      <c r="AA30" s="299"/>
      <c r="AB30" s="299"/>
      <c r="AC30" s="299"/>
      <c r="AD30" s="299"/>
      <c r="AE30" s="299"/>
      <c r="AF30" s="299"/>
    </row>
    <row r="31" spans="1:32" customFormat="1" x14ac:dyDescent="0.25">
      <c r="A31" s="203"/>
      <c r="B31" s="207"/>
      <c r="C31" s="203"/>
      <c r="D31" s="203"/>
      <c r="E31" s="203"/>
      <c r="F31" s="203"/>
      <c r="G31" s="203"/>
      <c r="H31" s="203"/>
      <c r="I31" s="203"/>
      <c r="K31" s="203"/>
      <c r="L31" s="203"/>
      <c r="M31" s="203"/>
      <c r="N31" s="203"/>
      <c r="O31" s="203"/>
      <c r="P31" s="203"/>
      <c r="Q31" s="203"/>
      <c r="R31" s="203"/>
      <c r="U31" s="281"/>
      <c r="V31" s="281"/>
      <c r="W31" s="330"/>
      <c r="X31" s="264"/>
      <c r="Y31" s="203"/>
      <c r="Z31" s="203"/>
      <c r="AA31" s="203"/>
      <c r="AB31" s="203"/>
      <c r="AC31" s="203"/>
      <c r="AD31" s="203"/>
      <c r="AE31" s="203"/>
      <c r="AF31" s="203"/>
    </row>
    <row r="32" spans="1:32" x14ac:dyDescent="0.25">
      <c r="B32" s="207"/>
      <c r="J32"/>
      <c r="U32"/>
      <c r="V32"/>
      <c r="W32" s="330"/>
      <c r="X32" s="264"/>
    </row>
    <row r="33" spans="1:24" x14ac:dyDescent="0.25">
      <c r="A33" s="379" t="s">
        <v>189</v>
      </c>
      <c r="B33" s="380"/>
      <c r="C33" s="380"/>
      <c r="D33" s="380"/>
      <c r="E33" s="380"/>
      <c r="F33" s="380"/>
      <c r="G33" s="380"/>
      <c r="H33" s="381"/>
      <c r="J33" s="207"/>
      <c r="K33"/>
      <c r="L33"/>
      <c r="M33"/>
      <c r="U33"/>
      <c r="V33"/>
      <c r="W33" s="330"/>
      <c r="X33" s="264"/>
    </row>
    <row r="34" spans="1:24" x14ac:dyDescent="0.25">
      <c r="A34" s="365" t="s">
        <v>178</v>
      </c>
      <c r="B34" s="317" t="s">
        <v>179</v>
      </c>
      <c r="C34" s="317" t="s">
        <v>180</v>
      </c>
      <c r="D34" s="317" t="s">
        <v>181</v>
      </c>
      <c r="E34" s="317" t="s">
        <v>182</v>
      </c>
      <c r="F34" s="317" t="s">
        <v>183</v>
      </c>
      <c r="G34" s="317" t="s">
        <v>184</v>
      </c>
      <c r="H34" s="359" t="s">
        <v>185</v>
      </c>
      <c r="J34" s="207"/>
      <c r="K34"/>
      <c r="L34"/>
      <c r="M34"/>
      <c r="U34"/>
      <c r="V34"/>
      <c r="W34" s="330"/>
      <c r="X34" s="264"/>
    </row>
    <row r="35" spans="1:24" x14ac:dyDescent="0.25">
      <c r="A35" s="323" t="s">
        <v>188</v>
      </c>
      <c r="B35" s="318">
        <v>180</v>
      </c>
      <c r="C35" s="319">
        <v>170</v>
      </c>
      <c r="D35" s="319">
        <v>150</v>
      </c>
      <c r="E35" s="319">
        <v>115</v>
      </c>
      <c r="F35" s="319">
        <v>95</v>
      </c>
      <c r="G35" s="319">
        <v>75</v>
      </c>
      <c r="H35" s="320">
        <v>60</v>
      </c>
      <c r="J35" s="207"/>
      <c r="K35"/>
      <c r="L35"/>
      <c r="M35"/>
      <c r="U35"/>
      <c r="V35"/>
      <c r="W35" s="330"/>
      <c r="X35" s="264"/>
    </row>
    <row r="36" spans="1:24" x14ac:dyDescent="0.25">
      <c r="A36" s="323" t="s">
        <v>186</v>
      </c>
      <c r="B36" s="357">
        <v>160</v>
      </c>
      <c r="C36" s="355">
        <v>150</v>
      </c>
      <c r="D36" s="355">
        <v>130</v>
      </c>
      <c r="E36" s="355">
        <v>110</v>
      </c>
      <c r="F36" s="355">
        <v>90</v>
      </c>
      <c r="G36" s="355">
        <v>70</v>
      </c>
      <c r="H36" s="321">
        <v>55</v>
      </c>
      <c r="J36" s="207"/>
      <c r="K36"/>
      <c r="L36"/>
      <c r="M36"/>
      <c r="U36"/>
      <c r="V36"/>
      <c r="W36" s="330"/>
      <c r="X36" s="264"/>
    </row>
    <row r="37" spans="1:24" x14ac:dyDescent="0.25">
      <c r="A37" s="323" t="s">
        <v>187</v>
      </c>
      <c r="B37" s="357">
        <v>140</v>
      </c>
      <c r="C37" s="355">
        <v>130</v>
      </c>
      <c r="D37" s="355">
        <v>120</v>
      </c>
      <c r="E37" s="355">
        <v>100</v>
      </c>
      <c r="F37" s="355">
        <v>85</v>
      </c>
      <c r="G37" s="355">
        <v>65</v>
      </c>
      <c r="H37" s="321">
        <v>50</v>
      </c>
      <c r="J37" s="207"/>
      <c r="K37"/>
      <c r="L37"/>
      <c r="M37"/>
    </row>
    <row r="38" spans="1:24" x14ac:dyDescent="0.25">
      <c r="A38" s="323" t="s">
        <v>190</v>
      </c>
      <c r="B38" s="357">
        <v>130</v>
      </c>
      <c r="C38" s="355">
        <v>120</v>
      </c>
      <c r="D38" s="355">
        <v>110</v>
      </c>
      <c r="E38" s="355">
        <v>75</v>
      </c>
      <c r="F38" s="355">
        <v>65</v>
      </c>
      <c r="G38" s="355">
        <v>60</v>
      </c>
      <c r="H38" s="321">
        <v>45</v>
      </c>
      <c r="J38" s="207"/>
      <c r="K38"/>
      <c r="L38"/>
      <c r="M38"/>
    </row>
    <row r="39" spans="1:24" x14ac:dyDescent="0.25">
      <c r="A39" s="324" t="s">
        <v>204</v>
      </c>
      <c r="B39" s="358">
        <v>120</v>
      </c>
      <c r="C39" s="356">
        <v>110</v>
      </c>
      <c r="D39" s="356">
        <v>100</v>
      </c>
      <c r="E39" s="356">
        <v>70</v>
      </c>
      <c r="F39" s="356">
        <v>60</v>
      </c>
      <c r="G39" s="356">
        <v>55</v>
      </c>
      <c r="H39" s="322">
        <v>40</v>
      </c>
      <c r="J39" s="207"/>
      <c r="K39"/>
      <c r="L39"/>
      <c r="M39"/>
    </row>
    <row r="40" spans="1:24" x14ac:dyDescent="0.25">
      <c r="A40" s="282" t="s">
        <v>176</v>
      </c>
      <c r="B40" s="299"/>
      <c r="C40" s="299"/>
      <c r="D40" s="299"/>
      <c r="E40" s="299"/>
      <c r="F40" s="299"/>
      <c r="G40" s="299"/>
      <c r="K40"/>
      <c r="L40"/>
      <c r="M40"/>
    </row>
    <row r="41" spans="1:24" x14ac:dyDescent="0.25">
      <c r="A41" s="299"/>
      <c r="B41" s="299"/>
      <c r="C41" s="299"/>
      <c r="D41" s="299"/>
      <c r="E41" s="299"/>
      <c r="F41" s="287"/>
      <c r="G41" s="287"/>
      <c r="H41" s="207"/>
      <c r="J41" s="207"/>
      <c r="K41"/>
      <c r="L41"/>
      <c r="M41"/>
    </row>
    <row r="42" spans="1:24" x14ac:dyDescent="0.25">
      <c r="A42" s="299"/>
      <c r="B42" s="299"/>
      <c r="C42" s="299"/>
      <c r="D42" s="299"/>
      <c r="E42" s="299"/>
      <c r="F42" s="287"/>
      <c r="G42" s="287"/>
      <c r="H42" s="207"/>
      <c r="J42" s="207"/>
      <c r="K42"/>
      <c r="L42"/>
      <c r="M42"/>
      <c r="N42" s="207"/>
      <c r="O42" s="207"/>
    </row>
    <row r="43" spans="1:24" x14ac:dyDescent="0.25">
      <c r="A43" s="379" t="s">
        <v>207</v>
      </c>
      <c r="B43" s="380"/>
      <c r="C43" s="380"/>
      <c r="D43" s="380"/>
      <c r="E43" s="380"/>
      <c r="F43" s="380"/>
      <c r="G43" s="381"/>
      <c r="H43" s="281"/>
      <c r="J43" s="327"/>
      <c r="K43"/>
      <c r="L43"/>
      <c r="M43"/>
      <c r="N43" s="207"/>
      <c r="O43" s="207"/>
    </row>
    <row r="44" spans="1:24" x14ac:dyDescent="0.25">
      <c r="A44" s="365" t="s">
        <v>192</v>
      </c>
      <c r="B44" s="388" t="s">
        <v>193</v>
      </c>
      <c r="C44" s="389"/>
      <c r="D44" s="392" t="s">
        <v>194</v>
      </c>
      <c r="E44" s="392"/>
      <c r="F44" s="389" t="s">
        <v>195</v>
      </c>
      <c r="G44" s="393"/>
      <c r="H44"/>
      <c r="J44"/>
      <c r="K44"/>
      <c r="L44"/>
      <c r="M44"/>
      <c r="N44" s="206"/>
      <c r="O44" s="207"/>
    </row>
    <row r="45" spans="1:24" x14ac:dyDescent="0.25">
      <c r="A45" s="323" t="s">
        <v>196</v>
      </c>
      <c r="B45" s="390">
        <v>2256</v>
      </c>
      <c r="C45" s="391"/>
      <c r="D45" s="391">
        <v>2818</v>
      </c>
      <c r="E45" s="391"/>
      <c r="F45" s="391">
        <v>1798</v>
      </c>
      <c r="G45" s="394"/>
      <c r="H45"/>
      <c r="J45"/>
      <c r="K45"/>
      <c r="L45"/>
      <c r="M45"/>
      <c r="N45" s="206"/>
      <c r="O45" s="207"/>
    </row>
    <row r="46" spans="1:24" x14ac:dyDescent="0.25">
      <c r="A46" s="323" t="s">
        <v>197</v>
      </c>
      <c r="B46" s="387">
        <v>3248</v>
      </c>
      <c r="C46" s="385"/>
      <c r="D46" s="385">
        <v>3843</v>
      </c>
      <c r="E46" s="385"/>
      <c r="F46" s="385">
        <v>2850</v>
      </c>
      <c r="G46" s="386"/>
      <c r="H46"/>
      <c r="J46"/>
      <c r="K46"/>
      <c r="L46"/>
      <c r="M46"/>
      <c r="N46" s="206"/>
      <c r="O46" s="207"/>
    </row>
    <row r="47" spans="1:24" x14ac:dyDescent="0.25">
      <c r="A47" s="323" t="s">
        <v>198</v>
      </c>
      <c r="B47" s="387">
        <v>4246</v>
      </c>
      <c r="C47" s="385"/>
      <c r="D47" s="385">
        <v>5151</v>
      </c>
      <c r="E47" s="385"/>
      <c r="F47" s="385">
        <v>3733</v>
      </c>
      <c r="G47" s="386"/>
      <c r="H47"/>
      <c r="J47"/>
      <c r="K47"/>
      <c r="L47"/>
      <c r="M47"/>
      <c r="N47" s="207"/>
      <c r="O47" s="207"/>
    </row>
    <row r="48" spans="1:24" x14ac:dyDescent="0.25">
      <c r="A48" s="323" t="s">
        <v>199</v>
      </c>
      <c r="B48" s="387">
        <v>5009</v>
      </c>
      <c r="C48" s="385"/>
      <c r="D48" s="385">
        <v>6189</v>
      </c>
      <c r="E48" s="385"/>
      <c r="F48" s="385">
        <v>4480</v>
      </c>
      <c r="G48" s="386"/>
      <c r="H48"/>
      <c r="J48"/>
      <c r="K48"/>
      <c r="L48"/>
      <c r="M48"/>
      <c r="N48" s="207"/>
      <c r="O48" s="207"/>
    </row>
    <row r="49" spans="1:15" x14ac:dyDescent="0.25">
      <c r="A49" s="323" t="s">
        <v>200</v>
      </c>
      <c r="B49" s="387">
        <v>5969</v>
      </c>
      <c r="C49" s="385"/>
      <c r="D49" s="385">
        <v>7494</v>
      </c>
      <c r="E49" s="385"/>
      <c r="F49" s="385">
        <v>5311</v>
      </c>
      <c r="G49" s="386"/>
      <c r="H49"/>
      <c r="J49"/>
      <c r="K49"/>
      <c r="L49"/>
      <c r="M49"/>
      <c r="N49" s="207"/>
      <c r="O49" s="207"/>
    </row>
    <row r="50" spans="1:15" x14ac:dyDescent="0.25">
      <c r="A50" s="324" t="s">
        <v>201</v>
      </c>
      <c r="B50" s="384">
        <v>6579</v>
      </c>
      <c r="C50" s="382"/>
      <c r="D50" s="382">
        <v>8465</v>
      </c>
      <c r="E50" s="382"/>
      <c r="F50" s="382">
        <v>5816</v>
      </c>
      <c r="G50" s="383"/>
      <c r="H50"/>
      <c r="J50"/>
      <c r="K50"/>
      <c r="L50"/>
      <c r="M50"/>
      <c r="N50" s="207"/>
      <c r="O50" s="207"/>
    </row>
    <row r="51" spans="1:15" x14ac:dyDescent="0.25">
      <c r="A51" s="326" t="s">
        <v>203</v>
      </c>
      <c r="B51" s="316"/>
      <c r="C51" s="316"/>
      <c r="D51" s="316"/>
      <c r="E51" s="316"/>
      <c r="F51" s="316"/>
      <c r="G51" s="316"/>
      <c r="H51" s="316"/>
      <c r="J51" s="316"/>
      <c r="K51"/>
      <c r="L51"/>
      <c r="M51"/>
      <c r="N51" s="207"/>
      <c r="O51" s="207"/>
    </row>
    <row r="52" spans="1:15" x14ac:dyDescent="0.25">
      <c r="J52" s="207"/>
      <c r="K52" s="207"/>
      <c r="L52" s="207"/>
      <c r="M52" s="207"/>
      <c r="N52" s="207"/>
      <c r="O52" s="207"/>
    </row>
    <row r="53" spans="1:15" x14ac:dyDescent="0.25">
      <c r="J53" s="207"/>
      <c r="K53" s="207"/>
      <c r="L53" s="207"/>
      <c r="M53" s="207"/>
      <c r="N53" s="207"/>
      <c r="O53" s="207"/>
    </row>
    <row r="54" spans="1:15" x14ac:dyDescent="0.25">
      <c r="J54" s="207"/>
      <c r="K54" s="207"/>
      <c r="L54" s="207"/>
      <c r="M54" s="207"/>
      <c r="N54" s="207"/>
      <c r="O54" s="207"/>
    </row>
    <row r="55" spans="1:15" x14ac:dyDescent="0.25">
      <c r="J55" s="207"/>
      <c r="K55" s="207"/>
      <c r="L55" s="207"/>
      <c r="M55" s="207"/>
      <c r="N55" s="207"/>
      <c r="O55" s="207"/>
    </row>
    <row r="56" spans="1:15" x14ac:dyDescent="0.25">
      <c r="J56" s="207"/>
      <c r="K56" s="207"/>
      <c r="L56" s="207"/>
      <c r="M56" s="207"/>
      <c r="N56" s="207"/>
      <c r="O56" s="207"/>
    </row>
    <row r="57" spans="1:15" x14ac:dyDescent="0.25">
      <c r="J57" s="207"/>
      <c r="K57" s="207"/>
      <c r="L57" s="207"/>
      <c r="M57" s="207"/>
      <c r="N57" s="207"/>
      <c r="O57" s="207"/>
    </row>
    <row r="58" spans="1:15" x14ac:dyDescent="0.25">
      <c r="J58" s="207"/>
      <c r="K58" s="207"/>
      <c r="L58" s="207"/>
      <c r="M58" s="207"/>
      <c r="N58" s="207"/>
      <c r="O58" s="207"/>
    </row>
    <row r="59" spans="1:15" x14ac:dyDescent="0.25">
      <c r="J59" s="207"/>
      <c r="K59" s="207"/>
      <c r="L59" s="207"/>
      <c r="M59" s="207"/>
      <c r="N59" s="207"/>
      <c r="O59" s="207"/>
    </row>
    <row r="60" spans="1:15" x14ac:dyDescent="0.25">
      <c r="J60" s="207"/>
      <c r="K60" s="207"/>
      <c r="L60" s="207"/>
      <c r="M60" s="207"/>
      <c r="N60" s="207"/>
      <c r="O60" s="207"/>
    </row>
    <row r="61" spans="1:15" x14ac:dyDescent="0.25">
      <c r="J61" s="207"/>
      <c r="K61" s="207"/>
      <c r="L61" s="207"/>
      <c r="M61" s="207"/>
      <c r="N61" s="207"/>
      <c r="O61" s="207"/>
    </row>
    <row r="62" spans="1:15" x14ac:dyDescent="0.25">
      <c r="J62" s="207"/>
      <c r="K62" s="207"/>
      <c r="L62" s="207"/>
      <c r="M62" s="207"/>
      <c r="N62" s="207"/>
      <c r="O62" s="207"/>
    </row>
    <row r="63" spans="1:15" s="299" customFormat="1" ht="15" customHeight="1" x14ac:dyDescent="0.25">
      <c r="J63" s="287"/>
      <c r="K63" s="287"/>
      <c r="L63" s="287"/>
      <c r="M63" s="287"/>
      <c r="N63" s="287"/>
      <c r="O63" s="287"/>
    </row>
    <row r="64" spans="1:15" x14ac:dyDescent="0.25">
      <c r="J64" s="207"/>
      <c r="K64" s="207"/>
      <c r="L64" s="207"/>
      <c r="M64" s="207"/>
      <c r="N64" s="207"/>
      <c r="O64" s="207"/>
    </row>
    <row r="65" spans="6:15" x14ac:dyDescent="0.25">
      <c r="J65" s="207"/>
      <c r="K65" s="207"/>
      <c r="L65" s="207"/>
      <c r="M65" s="207"/>
      <c r="N65" s="207"/>
      <c r="O65" s="207"/>
    </row>
    <row r="66" spans="6:15" x14ac:dyDescent="0.25">
      <c r="J66" s="207"/>
      <c r="K66" s="207"/>
      <c r="L66" s="207"/>
      <c r="M66" s="207"/>
      <c r="N66" s="207"/>
      <c r="O66" s="207"/>
    </row>
    <row r="67" spans="6:15" x14ac:dyDescent="0.25">
      <c r="F67" s="207"/>
      <c r="G67" s="207"/>
      <c r="H67" s="207"/>
      <c r="I67" s="207"/>
      <c r="J67" s="207"/>
      <c r="K67" s="207"/>
      <c r="L67" s="207"/>
      <c r="M67" s="207"/>
      <c r="N67" s="207"/>
      <c r="O67" s="207"/>
    </row>
    <row r="68" spans="6:15" x14ac:dyDescent="0.25">
      <c r="F68" s="207"/>
      <c r="G68" s="207"/>
      <c r="H68" s="207"/>
      <c r="I68" s="207"/>
      <c r="J68" s="207"/>
      <c r="K68" s="207"/>
      <c r="L68" s="207"/>
      <c r="M68" s="207"/>
      <c r="N68" s="207"/>
      <c r="O68" s="207"/>
    </row>
  </sheetData>
  <sheetProtection algorithmName="SHA-512" hashValue="aXB3oqIUZRzxW6/EqGRLw6aYtB84kXOYmJVAfLUB1lOwr9iVHMK9i1w5mLQms1ml1vn9DJPQpUKE4tP9mQFcVA==" saltValue="MJanmptfKWo8m11CN6BuLw==" spinCount="100000" sheet="1" objects="1" scenarios="1"/>
  <mergeCells count="30">
    <mergeCell ref="B6:C6"/>
    <mergeCell ref="A24:D24"/>
    <mergeCell ref="B1:C1"/>
    <mergeCell ref="B2:C2"/>
    <mergeCell ref="B3:C3"/>
    <mergeCell ref="B4:C4"/>
    <mergeCell ref="B5:C5"/>
    <mergeCell ref="B46:C46"/>
    <mergeCell ref="F46:G46"/>
    <mergeCell ref="D44:E44"/>
    <mergeCell ref="F44:G44"/>
    <mergeCell ref="F45:G45"/>
    <mergeCell ref="D45:E45"/>
    <mergeCell ref="D46:E46"/>
    <mergeCell ref="A33:H33"/>
    <mergeCell ref="A43:G43"/>
    <mergeCell ref="F50:G50"/>
    <mergeCell ref="D50:E50"/>
    <mergeCell ref="B50:C50"/>
    <mergeCell ref="F49:G49"/>
    <mergeCell ref="D49:E49"/>
    <mergeCell ref="B49:C49"/>
    <mergeCell ref="F48:G48"/>
    <mergeCell ref="D48:E48"/>
    <mergeCell ref="B48:C48"/>
    <mergeCell ref="F47:G47"/>
    <mergeCell ref="D47:E47"/>
    <mergeCell ref="B47:C47"/>
    <mergeCell ref="B44:C44"/>
    <mergeCell ref="B45:C45"/>
  </mergeCells>
  <hyperlinks>
    <hyperlink ref="A22" r:id="rId1" location="!/2015/04/01 "/>
  </hyperlinks>
  <pageMargins left="0.7" right="0.7" top="0.78740157499999996" bottom="0.78740157499999996" header="0.3" footer="0.3"/>
  <pageSetup paperSize="9" orientation="portrait" horizontalDpi="0"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9221" r:id="rId5" name="Drop Down 5">
              <controlPr defaultSize="0" autoLine="0" autoPict="0">
                <anchor moveWithCells="1">
                  <from>
                    <xdr:col>1</xdr:col>
                    <xdr:colOff>314325</xdr:colOff>
                    <xdr:row>7</xdr:row>
                    <xdr:rowOff>180975</xdr:rowOff>
                  </from>
                  <to>
                    <xdr:col>2</xdr:col>
                    <xdr:colOff>228600</xdr:colOff>
                    <xdr:row>8</xdr:row>
                    <xdr:rowOff>180975</xdr:rowOff>
                  </to>
                </anchor>
              </controlPr>
            </control>
          </mc:Choice>
        </mc:AlternateContent>
        <mc:AlternateContent xmlns:mc="http://schemas.openxmlformats.org/markup-compatibility/2006">
          <mc:Choice Requires="x14">
            <control shapeId="9220" r:id="rId6" name="Drop Down 4">
              <controlPr defaultSize="0" autoLine="0" autoPict="0">
                <anchor moveWithCells="1">
                  <from>
                    <xdr:col>1</xdr:col>
                    <xdr:colOff>314325</xdr:colOff>
                    <xdr:row>7</xdr:row>
                    <xdr:rowOff>0</xdr:rowOff>
                  </from>
                  <to>
                    <xdr:col>2</xdr:col>
                    <xdr:colOff>228600</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2:J41"/>
  <sheetViews>
    <sheetView zoomScale="80" zoomScaleNormal="80" workbookViewId="0"/>
  </sheetViews>
  <sheetFormatPr baseColWidth="10" defaultRowHeight="15" x14ac:dyDescent="0.25"/>
  <cols>
    <col min="2" max="2" width="41.28515625" customWidth="1"/>
  </cols>
  <sheetData>
    <row r="2" spans="2:10" x14ac:dyDescent="0.25">
      <c r="B2" s="404" t="s">
        <v>206</v>
      </c>
      <c r="C2" s="405"/>
      <c r="D2" s="405"/>
      <c r="E2" s="340"/>
      <c r="F2" s="339"/>
      <c r="G2" s="203"/>
      <c r="H2" s="203"/>
      <c r="I2" s="203"/>
      <c r="J2" s="203"/>
    </row>
    <row r="3" spans="2:10" ht="18" x14ac:dyDescent="0.35">
      <c r="B3" s="272" t="s">
        <v>164</v>
      </c>
      <c r="C3" s="280">
        <f>Berechnung_Diagramme!C29</f>
        <v>20.966443256074175</v>
      </c>
      <c r="D3" s="273" t="s">
        <v>222</v>
      </c>
      <c r="E3" s="203"/>
      <c r="F3" s="203"/>
      <c r="G3" s="203"/>
      <c r="H3" s="203"/>
      <c r="I3" s="203"/>
      <c r="J3" s="203"/>
    </row>
    <row r="4" spans="2:10" ht="18" x14ac:dyDescent="0.35">
      <c r="B4" s="274" t="s">
        <v>165</v>
      </c>
      <c r="C4" s="275">
        <f>Berechnung_Diagramme!C28</f>
        <v>9</v>
      </c>
      <c r="D4" s="273" t="s">
        <v>223</v>
      </c>
      <c r="E4" s="203"/>
      <c r="F4" s="203"/>
      <c r="G4" s="203"/>
      <c r="H4" s="203"/>
      <c r="I4" s="203"/>
      <c r="J4" s="203"/>
    </row>
    <row r="5" spans="2:10" x14ac:dyDescent="0.25">
      <c r="B5" s="272" t="s">
        <v>19</v>
      </c>
      <c r="C5" s="276">
        <f>HLOOKUP(C4,Wirtschaftlichkeit!E3:Z10,4,)</f>
        <v>0.92</v>
      </c>
      <c r="D5" s="273"/>
      <c r="E5" s="203"/>
      <c r="F5" s="203"/>
      <c r="G5" s="203"/>
      <c r="H5" s="203"/>
      <c r="I5" s="203"/>
      <c r="J5" s="203"/>
    </row>
    <row r="6" spans="2:10" x14ac:dyDescent="0.25">
      <c r="B6" s="272" t="s">
        <v>166</v>
      </c>
      <c r="C6" s="276">
        <f>HLOOKUP(C4,Wirtschaftlichkeit!E3:Z10,3,)</f>
        <v>0.27630906775436725</v>
      </c>
      <c r="D6" s="273"/>
      <c r="E6" s="203"/>
      <c r="F6" s="203"/>
      <c r="G6" s="203"/>
      <c r="H6" s="203"/>
      <c r="I6" s="203"/>
      <c r="J6" s="203"/>
    </row>
    <row r="7" spans="2:10" x14ac:dyDescent="0.25">
      <c r="B7" s="272" t="s">
        <v>167</v>
      </c>
      <c r="C7" s="276">
        <f>HLOOKUP(C4,Wirtschaftlichkeit!E3:Z7,5,)</f>
        <v>0.64369093224563279</v>
      </c>
      <c r="D7" s="273"/>
      <c r="E7" s="203"/>
      <c r="F7" s="203"/>
      <c r="G7" s="203"/>
      <c r="H7" s="203"/>
      <c r="I7" s="203"/>
      <c r="J7" s="203"/>
    </row>
    <row r="8" spans="2:10" ht="18" x14ac:dyDescent="0.35">
      <c r="B8" s="272" t="s">
        <v>168</v>
      </c>
      <c r="C8" s="280">
        <f>C3*Eingabemaske!B18</f>
        <v>10.483221628037088</v>
      </c>
      <c r="D8" s="273" t="s">
        <v>222</v>
      </c>
      <c r="E8" s="203"/>
      <c r="F8" s="203"/>
      <c r="G8" s="203"/>
      <c r="H8" s="203"/>
      <c r="I8" s="203"/>
      <c r="J8" s="203"/>
    </row>
    <row r="9" spans="2:10" x14ac:dyDescent="0.25">
      <c r="B9" s="271"/>
      <c r="C9" s="271"/>
      <c r="D9" s="271"/>
      <c r="E9" s="271"/>
      <c r="F9" s="271"/>
      <c r="G9" s="203"/>
      <c r="H9" s="203"/>
      <c r="I9" s="203"/>
      <c r="J9" s="203"/>
    </row>
    <row r="10" spans="2:10" x14ac:dyDescent="0.25">
      <c r="B10" s="271"/>
      <c r="C10" s="271"/>
      <c r="D10" s="271"/>
      <c r="E10" s="271"/>
      <c r="F10" s="271"/>
      <c r="G10" s="203"/>
      <c r="H10" s="203"/>
      <c r="I10" s="203"/>
      <c r="J10" s="203"/>
    </row>
    <row r="11" spans="2:10" x14ac:dyDescent="0.25">
      <c r="B11" s="406" t="s">
        <v>169</v>
      </c>
      <c r="C11" s="407"/>
      <c r="D11" s="407"/>
      <c r="E11" s="341"/>
      <c r="F11" s="271"/>
      <c r="G11" s="203"/>
      <c r="H11" s="203"/>
      <c r="I11" s="203"/>
      <c r="J11" s="203"/>
    </row>
    <row r="12" spans="2:10" x14ac:dyDescent="0.25">
      <c r="B12" s="337" t="s">
        <v>224</v>
      </c>
      <c r="C12" s="277">
        <f>Berechnungen_Lastgang!GZ5</f>
        <v>79492.275202714955</v>
      </c>
      <c r="D12" s="273" t="s">
        <v>60</v>
      </c>
      <c r="E12" s="203"/>
      <c r="F12" s="271"/>
      <c r="G12" s="203"/>
      <c r="H12" s="203"/>
      <c r="I12" s="203"/>
      <c r="J12" s="203"/>
    </row>
    <row r="13" spans="2:10" x14ac:dyDescent="0.25">
      <c r="B13" s="338" t="s">
        <v>16</v>
      </c>
      <c r="C13" s="278">
        <f>HLOOKUP('Analyse 1'!C4,Wirtschaftlichkeit!E3:Z12,10,)</f>
        <v>4672</v>
      </c>
      <c r="D13" s="279" t="s">
        <v>9</v>
      </c>
      <c r="E13" s="203"/>
      <c r="F13" s="271"/>
      <c r="G13" s="203"/>
      <c r="H13" s="203"/>
      <c r="I13" s="203"/>
      <c r="J13" s="203"/>
    </row>
    <row r="14" spans="2:10" x14ac:dyDescent="0.25">
      <c r="B14" s="272" t="s">
        <v>170</v>
      </c>
      <c r="C14" s="278">
        <f>IF(Eingabemaske!B18=1,C13,C12/C3)</f>
        <v>3791.4048764415634</v>
      </c>
      <c r="D14" s="279" t="s">
        <v>9</v>
      </c>
      <c r="E14" s="203"/>
      <c r="F14" s="271"/>
      <c r="G14" s="203"/>
      <c r="H14" s="203"/>
      <c r="I14" s="203"/>
      <c r="J14" s="203"/>
    </row>
    <row r="15" spans="2:10" x14ac:dyDescent="0.25">
      <c r="B15" s="203"/>
      <c r="C15" s="203"/>
      <c r="D15" s="203"/>
      <c r="E15" s="203"/>
      <c r="F15" s="203"/>
      <c r="G15" s="207"/>
      <c r="H15" s="207"/>
      <c r="I15" s="207"/>
      <c r="J15" s="207"/>
    </row>
    <row r="16" spans="2:10" x14ac:dyDescent="0.25">
      <c r="B16" s="203"/>
      <c r="C16" s="203"/>
      <c r="D16" s="203"/>
      <c r="E16" s="203"/>
      <c r="F16" s="203"/>
      <c r="G16" s="207"/>
      <c r="H16" s="207"/>
      <c r="I16" s="207"/>
      <c r="J16" s="207"/>
    </row>
    <row r="17" spans="2:10" x14ac:dyDescent="0.25">
      <c r="B17" s="203"/>
      <c r="C17" s="203"/>
      <c r="D17" s="203"/>
      <c r="E17" s="203"/>
      <c r="F17" s="203"/>
      <c r="G17" s="207"/>
      <c r="H17" s="207"/>
      <c r="I17" s="207"/>
      <c r="J17" s="207"/>
    </row>
    <row r="18" spans="2:10" x14ac:dyDescent="0.25">
      <c r="B18" s="203"/>
      <c r="C18" s="203"/>
      <c r="D18" s="203"/>
      <c r="E18" s="203"/>
      <c r="F18" s="203"/>
      <c r="G18" s="203"/>
      <c r="H18" s="203"/>
      <c r="I18" s="203"/>
      <c r="J18" s="207"/>
    </row>
    <row r="19" spans="2:10" x14ac:dyDescent="0.25">
      <c r="B19" s="203"/>
      <c r="C19" s="203"/>
      <c r="D19" s="203"/>
      <c r="E19" s="203"/>
      <c r="F19" s="203"/>
      <c r="G19" s="203"/>
      <c r="H19" s="203"/>
      <c r="I19" s="203"/>
      <c r="J19" s="207"/>
    </row>
    <row r="39" spans="2:10" x14ac:dyDescent="0.25">
      <c r="B39" s="203"/>
      <c r="C39" s="203"/>
      <c r="D39" s="203"/>
      <c r="E39" s="203"/>
      <c r="F39" s="203"/>
      <c r="G39" s="207"/>
      <c r="H39" s="207"/>
      <c r="I39" s="207"/>
      <c r="J39" s="207"/>
    </row>
    <row r="40" spans="2:10" x14ac:dyDescent="0.25">
      <c r="B40" s="203"/>
      <c r="C40" s="203"/>
      <c r="D40" s="203"/>
      <c r="E40" s="203"/>
      <c r="F40" s="203"/>
      <c r="G40" s="207"/>
      <c r="H40" s="207"/>
      <c r="I40" s="207"/>
      <c r="J40" s="207"/>
    </row>
    <row r="41" spans="2:10" x14ac:dyDescent="0.25">
      <c r="B41" s="203"/>
      <c r="C41" s="203"/>
      <c r="D41" s="203"/>
      <c r="E41" s="203"/>
      <c r="F41" s="203"/>
      <c r="G41" s="207"/>
      <c r="H41" s="207"/>
      <c r="I41" s="207"/>
      <c r="J41" s="207"/>
    </row>
  </sheetData>
  <sheetProtection algorithmName="SHA-512" hashValue="aLtRY8PMPjrdkNJ6GnJSGxDl2NXXdbhkqhPrZaf/Ccc5cSeiNkKdFUBp0pvr0z7Jo6NeEr4Utt1eDxYZMJAG2w==" saltValue="DrTiZs5bdW1blcUmwSiWZg==" spinCount="100000" sheet="1" objects="1" scenarios="1"/>
  <mergeCells count="2">
    <mergeCell ref="B2:D2"/>
    <mergeCell ref="B11:D11"/>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zoomScale="70" zoomScaleNormal="70" workbookViewId="0"/>
  </sheetViews>
  <sheetFormatPr baseColWidth="10" defaultColWidth="11.42578125" defaultRowHeight="15" x14ac:dyDescent="0.25"/>
  <cols>
    <col min="1" max="16384" width="11.42578125" style="182"/>
  </cols>
  <sheetData/>
  <sheetProtection algorithmName="SHA-512" hashValue="nNDrfqWGZzFxjs5mNBen698YP1WMYWXYtfQw3+CTIhcyx7YkPrPFRH0oY/ogrfKCd7g0fHvVrMu4askyARf+vA==" saltValue="KLyHpIGm3yGE4g2UFPYnEA==" spinCount="100000" sheet="1" objects="1" scenarios="1"/>
  <pageMargins left="0.7" right="0.7" top="0.78740157499999996" bottom="0.78740157499999996"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BM130"/>
  <sheetViews>
    <sheetView zoomScale="70" zoomScaleNormal="70" workbookViewId="0"/>
  </sheetViews>
  <sheetFormatPr baseColWidth="10" defaultColWidth="11.42578125" defaultRowHeight="15" x14ac:dyDescent="0.25"/>
  <cols>
    <col min="1" max="2" width="5.7109375" style="9" customWidth="1"/>
    <col min="3" max="3" width="11.42578125" style="30"/>
    <col min="4" max="4" width="14.140625" style="30" customWidth="1"/>
    <col min="5" max="5" width="78" style="9" customWidth="1"/>
    <col min="6" max="6" width="14.42578125" style="9" customWidth="1"/>
    <col min="7" max="7" width="11.140625" style="33" customWidth="1"/>
    <col min="8" max="10" width="11.140625" style="15" customWidth="1"/>
    <col min="11" max="11" width="11.140625" style="33" customWidth="1"/>
    <col min="12" max="15" width="11.140625" style="15" customWidth="1"/>
    <col min="16" max="16" width="11.140625" style="33" customWidth="1"/>
    <col min="17" max="18" width="11.140625" style="121" customWidth="1"/>
    <col min="19" max="19" width="11.140625" style="15" customWidth="1"/>
    <col min="20" max="21" width="11.140625" style="33" customWidth="1"/>
    <col min="22" max="25" width="11.140625" style="15" customWidth="1"/>
    <col min="26" max="26" width="11.140625" style="33" customWidth="1"/>
    <col min="27" max="27" width="10.7109375" style="15" customWidth="1"/>
    <col min="28" max="28" width="10.7109375" style="75" customWidth="1"/>
    <col min="29" max="40" width="10.7109375" style="15" customWidth="1"/>
    <col min="41" max="42" width="11.42578125" style="9"/>
    <col min="43" max="43" width="15.42578125" style="9" customWidth="1"/>
    <col min="44" max="44" width="6.7109375" style="9" customWidth="1"/>
    <col min="45" max="45" width="10.140625" style="9" customWidth="1"/>
    <col min="46" max="46" width="14.5703125" style="9" bestFit="1" customWidth="1"/>
    <col min="47" max="47" width="17.42578125" style="9" bestFit="1" customWidth="1"/>
    <col min="48" max="48" width="12" style="9" bestFit="1" customWidth="1"/>
    <col min="49" max="49" width="14.5703125" style="9" bestFit="1" customWidth="1"/>
    <col min="50" max="50" width="28" style="9" bestFit="1" customWidth="1"/>
    <col min="51" max="63" width="6.7109375" style="9" customWidth="1"/>
    <col min="64" max="16384" width="11.42578125" style="9"/>
  </cols>
  <sheetData>
    <row r="2" spans="1:52" ht="15" customHeight="1" x14ac:dyDescent="0.25">
      <c r="A2" s="411" t="s">
        <v>98</v>
      </c>
      <c r="B2" s="412"/>
      <c r="C2" s="424"/>
      <c r="D2" s="425"/>
      <c r="E2" s="418" t="s">
        <v>2</v>
      </c>
      <c r="F2" s="418"/>
      <c r="G2" s="418"/>
      <c r="H2" s="418"/>
      <c r="I2" s="418"/>
      <c r="J2" s="418"/>
      <c r="K2" s="418"/>
      <c r="L2" s="418"/>
      <c r="M2" s="418"/>
      <c r="N2" s="418"/>
      <c r="O2" s="418"/>
      <c r="P2" s="418"/>
      <c r="Q2" s="418"/>
      <c r="R2" s="418"/>
      <c r="S2" s="418"/>
      <c r="T2" s="418"/>
      <c r="U2" s="418"/>
      <c r="V2" s="418"/>
      <c r="W2" s="418"/>
      <c r="X2" s="418"/>
      <c r="Y2" s="418"/>
      <c r="Z2" s="419"/>
      <c r="AA2" s="9"/>
      <c r="AY2" s="15"/>
      <c r="AZ2" s="15"/>
    </row>
    <row r="3" spans="1:52" x14ac:dyDescent="0.25">
      <c r="A3" s="413"/>
      <c r="B3" s="414"/>
      <c r="C3" s="210"/>
      <c r="D3" s="215"/>
      <c r="E3" s="349" t="s">
        <v>163</v>
      </c>
      <c r="F3" s="213" t="s">
        <v>42</v>
      </c>
      <c r="G3" s="34">
        <v>1</v>
      </c>
      <c r="H3" s="1">
        <v>2</v>
      </c>
      <c r="I3" s="1">
        <v>3</v>
      </c>
      <c r="J3" s="1">
        <v>4</v>
      </c>
      <c r="K3" s="34">
        <v>5</v>
      </c>
      <c r="L3" s="1">
        <v>6</v>
      </c>
      <c r="M3" s="1">
        <v>7</v>
      </c>
      <c r="N3" s="1">
        <v>8</v>
      </c>
      <c r="O3" s="1">
        <v>9</v>
      </c>
      <c r="P3" s="34">
        <v>10</v>
      </c>
      <c r="Q3" s="1">
        <v>11</v>
      </c>
      <c r="R3" s="1">
        <v>12</v>
      </c>
      <c r="S3" s="1">
        <v>13</v>
      </c>
      <c r="T3" s="1">
        <v>14</v>
      </c>
      <c r="U3" s="34">
        <v>15</v>
      </c>
      <c r="V3" s="1">
        <v>16</v>
      </c>
      <c r="W3" s="1">
        <v>17</v>
      </c>
      <c r="X3" s="1">
        <v>18</v>
      </c>
      <c r="Y3" s="1">
        <v>19</v>
      </c>
      <c r="Z3" s="45">
        <v>20</v>
      </c>
      <c r="AA3" s="9"/>
      <c r="AB3" s="75" t="s">
        <v>86</v>
      </c>
      <c r="AY3" s="16"/>
      <c r="AZ3" s="16"/>
    </row>
    <row r="4" spans="1:52" x14ac:dyDescent="0.25">
      <c r="A4" s="413"/>
      <c r="B4" s="414"/>
      <c r="C4" s="210"/>
      <c r="D4" s="215"/>
      <c r="E4" s="418" t="s">
        <v>1</v>
      </c>
      <c r="F4" s="418"/>
      <c r="G4" s="418"/>
      <c r="H4" s="418"/>
      <c r="I4" s="418"/>
      <c r="J4" s="418"/>
      <c r="K4" s="418"/>
      <c r="L4" s="418"/>
      <c r="M4" s="418"/>
      <c r="N4" s="418"/>
      <c r="O4" s="418"/>
      <c r="P4" s="418"/>
      <c r="Q4" s="418"/>
      <c r="R4" s="418"/>
      <c r="S4" s="418"/>
      <c r="T4" s="418"/>
      <c r="U4" s="418"/>
      <c r="V4" s="418"/>
      <c r="W4" s="418"/>
      <c r="X4" s="418"/>
      <c r="Y4" s="418"/>
      <c r="Z4" s="419"/>
      <c r="AA4" s="9"/>
      <c r="AY4" s="15"/>
      <c r="AZ4" s="15"/>
    </row>
    <row r="5" spans="1:52" x14ac:dyDescent="0.25">
      <c r="A5" s="413"/>
      <c r="B5" s="414"/>
      <c r="C5" s="210"/>
      <c r="D5" s="215"/>
      <c r="E5" s="349" t="s">
        <v>21</v>
      </c>
      <c r="F5" s="213"/>
      <c r="G5" s="37">
        <v>0.24</v>
      </c>
      <c r="H5" s="37">
        <v>0.24249999999999999</v>
      </c>
      <c r="I5" s="37">
        <f t="shared" ref="I5:P5" si="0">(21.794*I3^0.108)/100</f>
        <v>0.24539518786314207</v>
      </c>
      <c r="J5" s="37">
        <f t="shared" si="0"/>
        <v>0.25313921303589187</v>
      </c>
      <c r="K5" s="37">
        <f t="shared" si="0"/>
        <v>0.25931384635361554</v>
      </c>
      <c r="L5" s="37">
        <f t="shared" si="0"/>
        <v>0.2644705275943266</v>
      </c>
      <c r="M5" s="37">
        <f t="shared" si="0"/>
        <v>0.26891036047878747</v>
      </c>
      <c r="N5" s="37">
        <f t="shared" si="0"/>
        <v>0.2728165201990515</v>
      </c>
      <c r="O5" s="37">
        <f t="shared" si="0"/>
        <v>0.27630906775436725</v>
      </c>
      <c r="P5" s="37">
        <f t="shared" si="0"/>
        <v>0.27947112718405337</v>
      </c>
      <c r="Q5" s="37">
        <f t="shared" ref="Q5:Z5" si="1">(22.56*Q3^0.1032)/100</f>
        <v>0.28894209704035734</v>
      </c>
      <c r="R5" s="37">
        <f t="shared" si="1"/>
        <v>0.2915483580573745</v>
      </c>
      <c r="S5" s="37">
        <f t="shared" si="1"/>
        <v>0.2939666405294768</v>
      </c>
      <c r="T5" s="37">
        <f t="shared" si="1"/>
        <v>0.29622349972411899</v>
      </c>
      <c r="U5" s="37">
        <f t="shared" si="1"/>
        <v>0.29834015652467921</v>
      </c>
      <c r="V5" s="37">
        <f t="shared" si="1"/>
        <v>0.30033384594835671</v>
      </c>
      <c r="W5" s="37">
        <f t="shared" si="1"/>
        <v>0.30221876324119157</v>
      </c>
      <c r="X5" s="37">
        <f t="shared" si="1"/>
        <v>0.30400674389910193</v>
      </c>
      <c r="Y5" s="37">
        <f t="shared" si="1"/>
        <v>0.30570776285393902</v>
      </c>
      <c r="Z5" s="219">
        <f t="shared" si="1"/>
        <v>0.30733030776410236</v>
      </c>
      <c r="AA5" s="9"/>
      <c r="AB5" s="75" t="s">
        <v>88</v>
      </c>
      <c r="AY5" s="15"/>
      <c r="AZ5" s="15"/>
    </row>
    <row r="6" spans="1:52" x14ac:dyDescent="0.25">
      <c r="A6" s="413"/>
      <c r="B6" s="414"/>
      <c r="C6" s="210"/>
      <c r="D6" s="215"/>
      <c r="E6" s="349" t="s">
        <v>19</v>
      </c>
      <c r="F6" s="213"/>
      <c r="G6" s="25">
        <v>0.92</v>
      </c>
      <c r="H6" s="25">
        <v>0.92</v>
      </c>
      <c r="I6" s="25">
        <v>0.92</v>
      </c>
      <c r="J6" s="25">
        <v>0.92</v>
      </c>
      <c r="K6" s="25">
        <v>0.92</v>
      </c>
      <c r="L6" s="25">
        <v>0.92</v>
      </c>
      <c r="M6" s="25">
        <v>0.92</v>
      </c>
      <c r="N6" s="25">
        <v>0.92</v>
      </c>
      <c r="O6" s="25">
        <v>0.92</v>
      </c>
      <c r="P6" s="25">
        <v>0.92</v>
      </c>
      <c r="Q6" s="25">
        <v>0.92</v>
      </c>
      <c r="R6" s="25">
        <v>0.92</v>
      </c>
      <c r="S6" s="25">
        <v>0.92</v>
      </c>
      <c r="T6" s="25">
        <v>0.92</v>
      </c>
      <c r="U6" s="37">
        <v>0.92</v>
      </c>
      <c r="V6" s="25">
        <v>0.92</v>
      </c>
      <c r="W6" s="25">
        <v>0.92</v>
      </c>
      <c r="X6" s="25">
        <v>0.92</v>
      </c>
      <c r="Y6" s="25">
        <v>0.92</v>
      </c>
      <c r="Z6" s="219">
        <v>0.92</v>
      </c>
      <c r="AA6" s="9"/>
      <c r="AB6" s="75" t="s">
        <v>229</v>
      </c>
      <c r="AY6" s="15"/>
      <c r="AZ6" s="15"/>
    </row>
    <row r="7" spans="1:52" x14ac:dyDescent="0.25">
      <c r="A7" s="413"/>
      <c r="B7" s="414"/>
      <c r="C7" s="210"/>
      <c r="D7" s="215"/>
      <c r="E7" s="349" t="s">
        <v>29</v>
      </c>
      <c r="F7" s="213"/>
      <c r="G7" s="37">
        <f t="shared" ref="G7:Z7" si="2">G6-G5</f>
        <v>0.68</v>
      </c>
      <c r="H7" s="25">
        <f t="shared" si="2"/>
        <v>0.67749999999999999</v>
      </c>
      <c r="I7" s="25">
        <f t="shared" si="2"/>
        <v>0.67460481213685797</v>
      </c>
      <c r="J7" s="25">
        <f t="shared" si="2"/>
        <v>0.66686078696410811</v>
      </c>
      <c r="K7" s="37">
        <f t="shared" si="2"/>
        <v>0.6606861536463845</v>
      </c>
      <c r="L7" s="25">
        <f t="shared" si="2"/>
        <v>0.6555294724056735</v>
      </c>
      <c r="M7" s="25">
        <f t="shared" si="2"/>
        <v>0.65108963952121257</v>
      </c>
      <c r="N7" s="25">
        <f t="shared" si="2"/>
        <v>0.64718347980094859</v>
      </c>
      <c r="O7" s="25">
        <f t="shared" si="2"/>
        <v>0.64369093224563279</v>
      </c>
      <c r="P7" s="37">
        <f t="shared" si="2"/>
        <v>0.64052887281594661</v>
      </c>
      <c r="Q7" s="25">
        <f t="shared" si="2"/>
        <v>0.6310579029596427</v>
      </c>
      <c r="R7" s="25">
        <f t="shared" si="2"/>
        <v>0.62845164194262559</v>
      </c>
      <c r="S7" s="25">
        <f t="shared" si="2"/>
        <v>0.62603335947052319</v>
      </c>
      <c r="T7" s="25">
        <f t="shared" si="2"/>
        <v>0.62377650027588105</v>
      </c>
      <c r="U7" s="37">
        <f t="shared" si="2"/>
        <v>0.62165984347532088</v>
      </c>
      <c r="V7" s="25">
        <f t="shared" si="2"/>
        <v>0.61966615405164327</v>
      </c>
      <c r="W7" s="25">
        <f t="shared" si="2"/>
        <v>0.61778123675880847</v>
      </c>
      <c r="X7" s="25">
        <f t="shared" si="2"/>
        <v>0.61599325610089806</v>
      </c>
      <c r="Y7" s="25">
        <f t="shared" si="2"/>
        <v>0.61429223714606107</v>
      </c>
      <c r="Z7" s="219">
        <f t="shared" si="2"/>
        <v>0.61266969223589762</v>
      </c>
      <c r="AA7" s="9"/>
      <c r="AB7" s="75" t="s">
        <v>89</v>
      </c>
      <c r="AY7" s="15"/>
      <c r="AZ7" s="15"/>
    </row>
    <row r="8" spans="1:52" s="212" customFormat="1" x14ac:dyDescent="0.25">
      <c r="A8" s="413"/>
      <c r="B8" s="414"/>
      <c r="C8" s="210"/>
      <c r="D8" s="215"/>
      <c r="E8" s="216" t="s">
        <v>160</v>
      </c>
      <c r="F8" s="213"/>
      <c r="G8" s="232">
        <f>G3*G7/G5</f>
        <v>2.8333333333333335</v>
      </c>
      <c r="H8" s="233">
        <f t="shared" ref="H8:Z8" si="3">H3*H7/H5</f>
        <v>5.5876288659793811</v>
      </c>
      <c r="I8" s="233">
        <f t="shared" si="3"/>
        <v>8.2471643149712612</v>
      </c>
      <c r="J8" s="233">
        <f t="shared" si="3"/>
        <v>10.537455322965799</v>
      </c>
      <c r="K8" s="232">
        <f t="shared" si="3"/>
        <v>12.739122166763016</v>
      </c>
      <c r="L8" s="233">
        <f t="shared" si="3"/>
        <v>14.87189090675227</v>
      </c>
      <c r="M8" s="233">
        <f t="shared" si="3"/>
        <v>16.948500863015312</v>
      </c>
      <c r="N8" s="233">
        <f t="shared" si="3"/>
        <v>18.977838419132468</v>
      </c>
      <c r="O8" s="233">
        <f t="shared" si="3"/>
        <v>20.966443256074175</v>
      </c>
      <c r="P8" s="232">
        <f t="shared" si="3"/>
        <v>22.919321908846374</v>
      </c>
      <c r="Q8" s="233">
        <f t="shared" si="3"/>
        <v>24.024318379562782</v>
      </c>
      <c r="R8" s="233">
        <f t="shared" si="3"/>
        <v>25.866788458563068</v>
      </c>
      <c r="S8" s="233">
        <f t="shared" si="3"/>
        <v>27.684888524964244</v>
      </c>
      <c r="T8" s="233">
        <f t="shared" si="3"/>
        <v>29.480682700715832</v>
      </c>
      <c r="U8" s="232">
        <f t="shared" si="3"/>
        <v>31.255925319454747</v>
      </c>
      <c r="V8" s="233">
        <f t="shared" si="3"/>
        <v>33.012125002158918</v>
      </c>
      <c r="W8" s="233">
        <f t="shared" si="3"/>
        <v>34.750592293696187</v>
      </c>
      <c r="X8" s="233">
        <f t="shared" si="3"/>
        <v>36.472475799734788</v>
      </c>
      <c r="Y8" s="233">
        <f t="shared" si="3"/>
        <v>38.178790086372757</v>
      </c>
      <c r="Z8" s="234">
        <f t="shared" si="3"/>
        <v>39.870437555814682</v>
      </c>
      <c r="AB8" s="227"/>
      <c r="AC8" s="214"/>
      <c r="AD8" s="214"/>
      <c r="AE8" s="214"/>
      <c r="AF8" s="214"/>
      <c r="AG8" s="214"/>
      <c r="AH8" s="214"/>
      <c r="AI8" s="214"/>
      <c r="AJ8" s="214"/>
      <c r="AK8" s="214"/>
      <c r="AL8" s="214"/>
      <c r="AM8" s="214"/>
      <c r="AN8" s="214"/>
      <c r="AY8" s="214"/>
      <c r="AZ8" s="214"/>
    </row>
    <row r="9" spans="1:52" s="212" customFormat="1" x14ac:dyDescent="0.25">
      <c r="A9" s="413"/>
      <c r="B9" s="414"/>
      <c r="C9" s="211">
        <f>Eingabemaske!B18</f>
        <v>0.5</v>
      </c>
      <c r="D9" s="215"/>
      <c r="E9" s="216" t="s">
        <v>161</v>
      </c>
      <c r="F9" s="213"/>
      <c r="G9" s="236">
        <f>$C$9</f>
        <v>0.5</v>
      </c>
      <c r="H9" s="237">
        <f t="shared" ref="H9:Z9" si="4">$C$9</f>
        <v>0.5</v>
      </c>
      <c r="I9" s="237">
        <f t="shared" si="4"/>
        <v>0.5</v>
      </c>
      <c r="J9" s="237">
        <f t="shared" si="4"/>
        <v>0.5</v>
      </c>
      <c r="K9" s="238">
        <f t="shared" si="4"/>
        <v>0.5</v>
      </c>
      <c r="L9" s="237">
        <f t="shared" si="4"/>
        <v>0.5</v>
      </c>
      <c r="M9" s="237">
        <f t="shared" si="4"/>
        <v>0.5</v>
      </c>
      <c r="N9" s="237">
        <f t="shared" si="4"/>
        <v>0.5</v>
      </c>
      <c r="O9" s="237">
        <f t="shared" si="4"/>
        <v>0.5</v>
      </c>
      <c r="P9" s="238">
        <f t="shared" si="4"/>
        <v>0.5</v>
      </c>
      <c r="Q9" s="237">
        <f t="shared" si="4"/>
        <v>0.5</v>
      </c>
      <c r="R9" s="237">
        <f t="shared" si="4"/>
        <v>0.5</v>
      </c>
      <c r="S9" s="237">
        <f t="shared" si="4"/>
        <v>0.5</v>
      </c>
      <c r="T9" s="237">
        <f t="shared" si="4"/>
        <v>0.5</v>
      </c>
      <c r="U9" s="238">
        <f t="shared" si="4"/>
        <v>0.5</v>
      </c>
      <c r="V9" s="237">
        <f t="shared" si="4"/>
        <v>0.5</v>
      </c>
      <c r="W9" s="237">
        <f t="shared" si="4"/>
        <v>0.5</v>
      </c>
      <c r="X9" s="237">
        <f t="shared" si="4"/>
        <v>0.5</v>
      </c>
      <c r="Y9" s="237">
        <f t="shared" si="4"/>
        <v>0.5</v>
      </c>
      <c r="Z9" s="239">
        <f t="shared" si="4"/>
        <v>0.5</v>
      </c>
      <c r="AB9" s="227"/>
      <c r="AC9" s="214"/>
      <c r="AD9" s="214"/>
      <c r="AE9" s="214"/>
      <c r="AF9" s="214"/>
      <c r="AG9" s="214"/>
      <c r="AH9" s="214"/>
      <c r="AI9" s="214"/>
      <c r="AJ9" s="214"/>
      <c r="AK9" s="214"/>
      <c r="AL9" s="214"/>
      <c r="AM9" s="214"/>
      <c r="AN9" s="214"/>
      <c r="AY9" s="214"/>
      <c r="AZ9" s="214"/>
    </row>
    <row r="10" spans="1:52" s="212" customFormat="1" x14ac:dyDescent="0.25">
      <c r="A10" s="413"/>
      <c r="B10" s="414"/>
      <c r="C10" s="211"/>
      <c r="D10" s="215"/>
      <c r="E10" s="216" t="s">
        <v>162</v>
      </c>
      <c r="F10" s="217" t="s">
        <v>90</v>
      </c>
      <c r="G10" s="232">
        <f>G8*G9</f>
        <v>1.4166666666666667</v>
      </c>
      <c r="H10" s="233">
        <f t="shared" ref="H10:Z10" si="5">H8*H9</f>
        <v>2.7938144329896906</v>
      </c>
      <c r="I10" s="233">
        <f t="shared" si="5"/>
        <v>4.1235821574856306</v>
      </c>
      <c r="J10" s="233">
        <f t="shared" si="5"/>
        <v>5.2687276614828997</v>
      </c>
      <c r="K10" s="232">
        <f t="shared" si="5"/>
        <v>6.3695610833815079</v>
      </c>
      <c r="L10" s="233">
        <f t="shared" si="5"/>
        <v>7.4359454533761351</v>
      </c>
      <c r="M10" s="233">
        <f t="shared" si="5"/>
        <v>8.4742504315076559</v>
      </c>
      <c r="N10" s="233">
        <f t="shared" si="5"/>
        <v>9.4889192095662338</v>
      </c>
      <c r="O10" s="233">
        <f t="shared" si="5"/>
        <v>10.483221628037088</v>
      </c>
      <c r="P10" s="232">
        <f t="shared" si="5"/>
        <v>11.459660954423187</v>
      </c>
      <c r="Q10" s="233">
        <f t="shared" si="5"/>
        <v>12.012159189781391</v>
      </c>
      <c r="R10" s="233">
        <f t="shared" si="5"/>
        <v>12.933394229281534</v>
      </c>
      <c r="S10" s="233">
        <f t="shared" si="5"/>
        <v>13.842444262482122</v>
      </c>
      <c r="T10" s="233">
        <f t="shared" si="5"/>
        <v>14.740341350357916</v>
      </c>
      <c r="U10" s="232">
        <f t="shared" si="5"/>
        <v>15.627962659727373</v>
      </c>
      <c r="V10" s="233">
        <f t="shared" si="5"/>
        <v>16.506062501079459</v>
      </c>
      <c r="W10" s="233">
        <f t="shared" si="5"/>
        <v>17.375296146848093</v>
      </c>
      <c r="X10" s="233">
        <f t="shared" si="5"/>
        <v>18.236237899867394</v>
      </c>
      <c r="Y10" s="233">
        <f t="shared" si="5"/>
        <v>19.089395043186379</v>
      </c>
      <c r="Z10" s="234">
        <f t="shared" si="5"/>
        <v>19.935218777907341</v>
      </c>
      <c r="AB10" s="227"/>
      <c r="AC10" s="214"/>
      <c r="AD10" s="214"/>
      <c r="AE10" s="214"/>
      <c r="AF10" s="214"/>
      <c r="AG10" s="214"/>
      <c r="AH10" s="214"/>
      <c r="AI10" s="214"/>
      <c r="AJ10" s="214"/>
      <c r="AK10" s="214"/>
      <c r="AL10" s="214"/>
      <c r="AM10" s="214"/>
      <c r="AN10" s="214"/>
      <c r="AY10" s="214"/>
      <c r="AZ10" s="214"/>
    </row>
    <row r="11" spans="1:52" x14ac:dyDescent="0.25">
      <c r="A11" s="413"/>
      <c r="B11" s="414"/>
      <c r="C11" s="210"/>
      <c r="D11" s="215"/>
      <c r="E11" s="418" t="s">
        <v>33</v>
      </c>
      <c r="F11" s="418"/>
      <c r="G11" s="418"/>
      <c r="H11" s="418"/>
      <c r="I11" s="418"/>
      <c r="J11" s="418"/>
      <c r="K11" s="418"/>
      <c r="L11" s="418"/>
      <c r="M11" s="418"/>
      <c r="N11" s="418"/>
      <c r="O11" s="418"/>
      <c r="P11" s="418"/>
      <c r="Q11" s="418"/>
      <c r="R11" s="418"/>
      <c r="S11" s="418"/>
      <c r="T11" s="418"/>
      <c r="U11" s="418"/>
      <c r="V11" s="418"/>
      <c r="W11" s="418"/>
      <c r="X11" s="418"/>
      <c r="Y11" s="418"/>
      <c r="Z11" s="419"/>
      <c r="AA11" s="9"/>
      <c r="AY11" s="15"/>
      <c r="AZ11" s="15"/>
    </row>
    <row r="12" spans="1:52" x14ac:dyDescent="0.25">
      <c r="A12" s="413"/>
      <c r="B12" s="414"/>
      <c r="C12" s="29"/>
      <c r="D12" s="215"/>
      <c r="E12" s="349" t="s">
        <v>16</v>
      </c>
      <c r="F12" s="213" t="s">
        <v>9</v>
      </c>
      <c r="G12" s="254">
        <f>INDEX(Berechnungen_Lastgang!H5:I125,MATCH(MIN(Berechnungen_Lastgang!H5:I125),Berechnungen_Lastgang!I5:I125,0),1)</f>
        <v>8322</v>
      </c>
      <c r="H12" s="209">
        <f>INDEX(Berechnungen_Lastgang!R5:S125,MATCH(MIN(Berechnungen_Lastgang!R5:S125),Berechnungen_Lastgang!S5:S125,0),1)</f>
        <v>7227</v>
      </c>
      <c r="I12" s="209">
        <f>INDEX(Berechnungen_Lastgang!AB5:AC125,MATCH(MIN(Berechnungen_Lastgang!AB5:AC125),Berechnungen_Lastgang!AC5:AC125,0),1)</f>
        <v>6570</v>
      </c>
      <c r="J12" s="209">
        <f>INDEX(Berechnungen_Lastgang!AL5:AM125,MATCH(MIN(Berechnungen_Lastgang!AL5:AM125),Berechnungen_Lastgang!AM5:AM125,0),1)</f>
        <v>6278</v>
      </c>
      <c r="K12" s="254">
        <f>INDEX(Berechnungen_Lastgang!AV5:AW125,MATCH(MIN(Berechnungen_Lastgang!AV5:AW125),Berechnungen_Lastgang!AW5:AW125,0),1)</f>
        <v>6059</v>
      </c>
      <c r="L12" s="209">
        <f>INDEX(Berechnungen_Lastgang!BF5:BG125,MATCH(MIN(Berechnungen_Lastgang!BF5:BG125),Berechnungen_Lastgang!BG5:BG125,0),1)</f>
        <v>5329</v>
      </c>
      <c r="M12" s="209">
        <f>INDEX(Berechnungen_Lastgang!BP5:BQ125,MATCH(MIN(Berechnungen_Lastgang!BP5:BQ125),Berechnungen_Lastgang!BQ5:BQ125,0),1)</f>
        <v>4964</v>
      </c>
      <c r="N12" s="209">
        <f>INDEX(Berechnungen_Lastgang!BZ5:CA125,MATCH(MIN(Berechnungen_Lastgang!BZ5:CA125),Berechnungen_Lastgang!CA5:CA124,0),1)</f>
        <v>4818</v>
      </c>
      <c r="O12" s="209">
        <f>INDEX(Berechnungen_Lastgang!CJ5:CK125,MATCH(MIN(Berechnungen_Lastgang!CJ5:CK125),Berechnungen_Lastgang!CK5:CK125,0),1)</f>
        <v>4672</v>
      </c>
      <c r="P12" s="254">
        <f>INDEX(Berechnungen_Lastgang!CT5:CU125,MATCH(MIN(Berechnungen_Lastgang!CT5:CU125),Berechnungen_Lastgang!CU5:CU125,0),1)</f>
        <v>4453</v>
      </c>
      <c r="Q12" s="209">
        <f>INDEX(Berechnungen_Lastgang!DD5:DE125,MATCH(MIN(Berechnungen_Lastgang!DD5:DE125),Berechnungen_Lastgang!DE5:DE125,0),1)</f>
        <v>3942</v>
      </c>
      <c r="R12" s="209">
        <f>INDEX(Berechnungen_Lastgang!DN5:DO125,MATCH(MIN(Berechnungen_Lastgang!DN5:DO125),Berechnungen_Lastgang!DO5:DO125,0),1)</f>
        <v>3577</v>
      </c>
      <c r="S12" s="209">
        <f>INDEX(Berechnungen_Lastgang!DX5:DY125,MATCH(MIN(Berechnungen_Lastgang!DX5:DY125),Berechnungen_Lastgang!DY5:DY125,0),1)</f>
        <v>3431</v>
      </c>
      <c r="T12" s="209">
        <f>INDEX(Berechnungen_Lastgang!EH5:EI125,MATCH(MIN(Berechnungen_Lastgang!EH5:EI125),Berechnungen_Lastgang!EI5:EI125,0),1)</f>
        <v>3285</v>
      </c>
      <c r="U12" s="254">
        <f>INDEX(Berechnungen_Lastgang!ER5:ES125,MATCH(MIN(Berechnungen_Lastgang!ER5:ES125),Berechnungen_Lastgang!ES5:ES125,0),1)</f>
        <v>3139</v>
      </c>
      <c r="V12" s="209">
        <f>INDEX(Berechnungen_Lastgang!FB5:FC125,MATCH(MIN(Berechnungen_Lastgang!FB5:FC125),Berechnungen_Lastgang!FC5:FC125,0),1)</f>
        <v>2993</v>
      </c>
      <c r="W12" s="209">
        <f>INDEX(Berechnungen_Lastgang!FL5:FM125,MATCH(MIN(Berechnungen_Lastgang!FL5:FM125),Berechnungen_Lastgang!FM5:FM125,0),1)</f>
        <v>2482</v>
      </c>
      <c r="X12" s="209">
        <f>INDEX(Berechnungen_Lastgang!FV5:FW125,MATCH(MIN(Berechnungen_Lastgang!FV5:FW125),Berechnungen_Lastgang!FW5:FW125,0),1)</f>
        <v>2117</v>
      </c>
      <c r="Y12" s="209">
        <f>INDEX(Berechnungen_Lastgang!GF5:GG125,MATCH(MIN(Berechnungen_Lastgang!GF5:GG125),Berechnungen_Lastgang!GG5:GG125,0),1)</f>
        <v>1898</v>
      </c>
      <c r="Z12" s="255">
        <f>INDEX(Berechnungen_Lastgang!GP5:GQ125,MATCH(MIN(Berechnungen_Lastgang!GP5:GQ125),Berechnungen_Lastgang!GQ5:GQ125,0),1)</f>
        <v>1752</v>
      </c>
      <c r="AA12" s="9"/>
      <c r="AB12" s="75" t="s">
        <v>91</v>
      </c>
      <c r="AY12" s="16"/>
      <c r="AZ12" s="16"/>
    </row>
    <row r="13" spans="1:52" s="28" customFormat="1" x14ac:dyDescent="0.25">
      <c r="A13" s="413"/>
      <c r="B13" s="423"/>
      <c r="C13" s="351"/>
      <c r="D13" s="215"/>
      <c r="E13" s="350" t="s">
        <v>87</v>
      </c>
      <c r="F13" s="213" t="s">
        <v>25</v>
      </c>
      <c r="G13" s="254">
        <f>Berechnungen_Lastgang!N126</f>
        <v>8055.9336364705878</v>
      </c>
      <c r="H13" s="254">
        <f>Berechnungen_Lastgang!X126</f>
        <v>13814.828477527677</v>
      </c>
      <c r="I13" s="254">
        <f>Berechnungen_Lastgang!AH126</f>
        <v>18669.953347665043</v>
      </c>
      <c r="J13" s="254">
        <f>Berechnungen_Lastgang!AR126</f>
        <v>23119.612993581606</v>
      </c>
      <c r="K13" s="254">
        <f>Berechnungen_Lastgang!BB126</f>
        <v>27008.089341099942</v>
      </c>
      <c r="L13" s="254">
        <f>Berechnungen_Lastgang!BL126</f>
        <v>28604.97509636519</v>
      </c>
      <c r="M13" s="254">
        <f>Berechnungen_Lastgang!BV126</f>
        <v>30731.450795457953</v>
      </c>
      <c r="N13" s="254">
        <f>Berechnungen_Lastgang!CF126</f>
        <v>32697.813653471945</v>
      </c>
      <c r="O13" s="254">
        <f>Berechnungen_Lastgang!CP126</f>
        <v>34122.643887974089</v>
      </c>
      <c r="P13" s="254">
        <f>Berechnungen_Lastgang!CZ126</f>
        <v>34052.511963661455</v>
      </c>
      <c r="Q13" s="254">
        <f>Berechnungen_Lastgang!DJ126</f>
        <v>32956.834130351264</v>
      </c>
      <c r="R13" s="254">
        <f>Berechnungen_Lastgang!DT126</f>
        <v>31320.98304734836</v>
      </c>
      <c r="S13" s="254">
        <f>Berechnungen_Lastgang!ED126</f>
        <v>30787.073958467412</v>
      </c>
      <c r="T13" s="254">
        <f>Berechnungen_Lastgang!EN126</f>
        <v>30145.029279746679</v>
      </c>
      <c r="U13" s="254">
        <f>Berechnungen_Lastgang!EX126</f>
        <v>29397.409750594743</v>
      </c>
      <c r="V13" s="254">
        <f>Berechnungen_Lastgang!FH126</f>
        <v>28546.187654941066</v>
      </c>
      <c r="W13" s="254">
        <f>Berechnungen_Lastgang!FR126</f>
        <v>24540.311012906026</v>
      </c>
      <c r="X13" s="254">
        <f>Berechnungen_Lastgang!GB126</f>
        <v>21581.617231636461</v>
      </c>
      <c r="Y13" s="254">
        <f>Berechnungen_Lastgang!GL126</f>
        <v>19726.397081892243</v>
      </c>
      <c r="Z13" s="255">
        <f>Berechnungen_Lastgang!GV126</f>
        <v>18452.879203295885</v>
      </c>
      <c r="AB13" s="81" t="s">
        <v>92</v>
      </c>
      <c r="AC13" s="253"/>
      <c r="AD13" s="253"/>
      <c r="AE13" s="253"/>
      <c r="AF13" s="253"/>
      <c r="AG13" s="253"/>
      <c r="AH13" s="253"/>
      <c r="AI13" s="253"/>
      <c r="AJ13" s="253"/>
      <c r="AK13" s="253"/>
      <c r="AL13" s="253"/>
      <c r="AM13" s="253"/>
      <c r="AN13" s="253"/>
      <c r="AY13" s="334"/>
      <c r="AZ13" s="334"/>
    </row>
    <row r="14" spans="1:52" x14ac:dyDescent="0.25">
      <c r="A14" s="413"/>
      <c r="B14" s="414"/>
      <c r="C14" s="351"/>
      <c r="D14" s="215"/>
      <c r="E14" s="349" t="s">
        <v>47</v>
      </c>
      <c r="F14" s="213" t="s">
        <v>39</v>
      </c>
      <c r="G14" s="254">
        <f>G13/G5</f>
        <v>33566.390151960783</v>
      </c>
      <c r="H14" s="209">
        <f t="shared" ref="H14:Z14" si="6">H13/H5</f>
        <v>56968.364855784239</v>
      </c>
      <c r="I14" s="209">
        <f t="shared" si="6"/>
        <v>76081.171396390026</v>
      </c>
      <c r="J14" s="209">
        <f t="shared" si="6"/>
        <v>91331.614396318531</v>
      </c>
      <c r="K14" s="254">
        <f t="shared" si="6"/>
        <v>104152.12963317867</v>
      </c>
      <c r="L14" s="209">
        <f t="shared" si="6"/>
        <v>108159.40572494559</v>
      </c>
      <c r="M14" s="209">
        <f t="shared" si="6"/>
        <v>114281.3937727853</v>
      </c>
      <c r="N14" s="209">
        <f t="shared" si="6"/>
        <v>119852.76269052575</v>
      </c>
      <c r="O14" s="209">
        <f t="shared" si="6"/>
        <v>123494.47727248813</v>
      </c>
      <c r="P14" s="254">
        <f t="shared" si="6"/>
        <v>121846.2612105015</v>
      </c>
      <c r="Q14" s="209">
        <f t="shared" si="6"/>
        <v>114060.34104386005</v>
      </c>
      <c r="R14" s="209">
        <f t="shared" si="6"/>
        <v>107429.80429059603</v>
      </c>
      <c r="S14" s="209">
        <f t="shared" si="6"/>
        <v>104729.8220744211</v>
      </c>
      <c r="T14" s="209">
        <f t="shared" si="6"/>
        <v>101764.4761736377</v>
      </c>
      <c r="U14" s="254">
        <f t="shared" si="6"/>
        <v>98536.550000646457</v>
      </c>
      <c r="V14" s="209">
        <f t="shared" si="6"/>
        <v>95048.187342327263</v>
      </c>
      <c r="W14" s="209">
        <f t="shared" si="6"/>
        <v>81200.487850984791</v>
      </c>
      <c r="X14" s="209">
        <f t="shared" si="6"/>
        <v>70990.587099604847</v>
      </c>
      <c r="Y14" s="209">
        <f t="shared" si="6"/>
        <v>64526.97470857852</v>
      </c>
      <c r="Z14" s="255">
        <f t="shared" si="6"/>
        <v>60042.497394886836</v>
      </c>
      <c r="AA14" s="9"/>
      <c r="AB14" s="75" t="s">
        <v>230</v>
      </c>
      <c r="AY14" s="15"/>
      <c r="AZ14" s="15"/>
    </row>
    <row r="15" spans="1:52" s="28" customFormat="1" x14ac:dyDescent="0.25">
      <c r="A15" s="413"/>
      <c r="B15" s="414"/>
      <c r="C15" s="351"/>
      <c r="D15" s="215"/>
      <c r="E15" s="360" t="s">
        <v>211</v>
      </c>
      <c r="F15" s="361"/>
      <c r="G15" s="362">
        <f>IF(G13/Eingabemaske!$B$14&lt;=0.5,0.95,IF(AND(G13/Eingabemaske!$B$14&lt;=0.6,G13/Eingabemaske!$B$14&gt;0.5),0.9,IF(AND(G13/Eingabemaske!$B$14&lt;=0.7,G13/Eingabemaske!$B$14&gt;0.6),0.85,IF(AND(G13/Eingabemaske!$B$14&lt;=0.8,G13/Eingabemaske!$B$14&gt;0.7),0.8,IF(AND(G13/Eingabemaske!$B$14&lt;=0.9,G13/Eingabemaske!$B$14&gt;0.8),0.75,IF(AND(G13/Eingabemaske!$B$14&lt;=1,G13/Eingabemaske!$B$14&gt;0.9),0.7,IF(AND(G13/Eingabemaske!$B$14&lt;=1.1,G13/Eingabemaske!$B$14&gt;1),0.65,IF(AND(G13/Eingabemaske!$B$14&lt;=1.2,G13/Eingabemaske!$B$14&gt;1.1),0.6,IF(AND(G13/Eingabemaske!$B$14&lt;=1.3,G13/Eingabemaske!$B$14&gt;1.2),0.55,IF(G13/Eingabemaske!$B$14&gt;1.3,0.5,"Fehler"))))))))))</f>
        <v>0.5</v>
      </c>
      <c r="H15" s="362">
        <f>IF(H13/Eingabemaske!$B$14&lt;=0.5,0.95,IF(AND(H13/Eingabemaske!$B$14&lt;=0.6,H13/Eingabemaske!$B$14&gt;0.5),0.9,IF(AND(H13/Eingabemaske!$B$14&lt;=0.7,H13/Eingabemaske!$B$14&gt;0.6),0.85,IF(AND(H13/Eingabemaske!$B$14&lt;=0.8,H13/Eingabemaske!$B$14&gt;0.7),0.8,IF(AND(H13/Eingabemaske!$B$14&lt;=0.9,H13/Eingabemaske!$B$14&gt;0.8),0.75,IF(AND(H13/Eingabemaske!$B$14&lt;=1,H13/Eingabemaske!$B$14&gt;0.9),0.7,IF(AND(H13/Eingabemaske!$B$14&lt;=1.1,H13/Eingabemaske!$B$14&gt;1),0.65,IF(AND(H13/Eingabemaske!$B$14&lt;=1.2,H13/Eingabemaske!$B$14&gt;1.1),0.6,IF(AND(H13/Eingabemaske!$B$14&lt;=1.3,H13/Eingabemaske!$B$14&gt;1.2),0.55,IF(H13/Eingabemaske!$B$14&gt;1.3,0.5,"Fehler"))))))))))</f>
        <v>0.5</v>
      </c>
      <c r="I15" s="362">
        <f>IF(I13/Eingabemaske!$B$14&lt;=0.5,0.95,IF(AND(I13/Eingabemaske!$B$14&lt;=0.6,I13/Eingabemaske!$B$14&gt;0.5),0.9,IF(AND(I13/Eingabemaske!$B$14&lt;=0.7,I13/Eingabemaske!$B$14&gt;0.6),0.85,IF(AND(I13/Eingabemaske!$B$14&lt;=0.8,I13/Eingabemaske!$B$14&gt;0.7),0.8,IF(AND(I13/Eingabemaske!$B$14&lt;=0.9,I13/Eingabemaske!$B$14&gt;0.8),0.75,IF(AND(I13/Eingabemaske!$B$14&lt;=1,I13/Eingabemaske!$B$14&gt;0.9),0.7,IF(AND(I13/Eingabemaske!$B$14&lt;=1.1,I13/Eingabemaske!$B$14&gt;1),0.65,IF(AND(I13/Eingabemaske!$B$14&lt;=1.2,I13/Eingabemaske!$B$14&gt;1.1),0.6,IF(AND(I13/Eingabemaske!$B$14&lt;=1.3,I13/Eingabemaske!$B$14&gt;1.2),0.55,IF(I13/Eingabemaske!$B$14&gt;1.3,0.5,"Fehler"))))))))))</f>
        <v>0.5</v>
      </c>
      <c r="J15" s="362">
        <f>IF(J13/Eingabemaske!$B$14&lt;=0.5,0.95,IF(AND(J13/Eingabemaske!$B$14&lt;=0.6,J13/Eingabemaske!$B$14&gt;0.5),0.9,IF(AND(J13/Eingabemaske!$B$14&lt;=0.7,J13/Eingabemaske!$B$14&gt;0.6),0.85,IF(AND(J13/Eingabemaske!$B$14&lt;=0.8,J13/Eingabemaske!$B$14&gt;0.7),0.8,IF(AND(J13/Eingabemaske!$B$14&lt;=0.9,J13/Eingabemaske!$B$14&gt;0.8),0.75,IF(AND(J13/Eingabemaske!$B$14&lt;=1,J13/Eingabemaske!$B$14&gt;0.9),0.7,IF(AND(J13/Eingabemaske!$B$14&lt;=1.1,J13/Eingabemaske!$B$14&gt;1),0.65,IF(AND(J13/Eingabemaske!$B$14&lt;=1.2,J13/Eingabemaske!$B$14&gt;1.1),0.6,IF(AND(J13/Eingabemaske!$B$14&lt;=1.3,J13/Eingabemaske!$B$14&gt;1.2),0.55,IF(J13/Eingabemaske!$B$14&gt;1.3,0.5,"Fehler"))))))))))</f>
        <v>0.5</v>
      </c>
      <c r="K15" s="362">
        <f>IF(K13/Eingabemaske!$B$14&lt;=0.5,0.95,IF(AND(K13/Eingabemaske!$B$14&lt;=0.6,K13/Eingabemaske!$B$14&gt;0.5),0.9,IF(AND(K13/Eingabemaske!$B$14&lt;=0.7,K13/Eingabemaske!$B$14&gt;0.6),0.85,IF(AND(K13/Eingabemaske!$B$14&lt;=0.8,K13/Eingabemaske!$B$14&gt;0.7),0.8,IF(AND(K13/Eingabemaske!$B$14&lt;=0.9,K13/Eingabemaske!$B$14&gt;0.8),0.75,IF(AND(K13/Eingabemaske!$B$14&lt;=1,K13/Eingabemaske!$B$14&gt;0.9),0.7,IF(AND(K13/Eingabemaske!$B$14&lt;=1.1,K13/Eingabemaske!$B$14&gt;1),0.65,IF(AND(K13/Eingabemaske!$B$14&lt;=1.2,K13/Eingabemaske!$B$14&gt;1.1),0.6,IF(AND(K13/Eingabemaske!$B$14&lt;=1.3,K13/Eingabemaske!$B$14&gt;1.2),0.55,IF(K13/Eingabemaske!$B$14&gt;1.3,0.5,"Fehler"))))))))))</f>
        <v>0.5</v>
      </c>
      <c r="L15" s="362">
        <f>IF(L13/Eingabemaske!$B$14&lt;=0.5,0.95,IF(AND(L13/Eingabemaske!$B$14&lt;=0.6,L13/Eingabemaske!$B$14&gt;0.5),0.9,IF(AND(L13/Eingabemaske!$B$14&lt;=0.7,L13/Eingabemaske!$B$14&gt;0.6),0.85,IF(AND(L13/Eingabemaske!$B$14&lt;=0.8,L13/Eingabemaske!$B$14&gt;0.7),0.8,IF(AND(L13/Eingabemaske!$B$14&lt;=0.9,L13/Eingabemaske!$B$14&gt;0.8),0.75,IF(AND(L13/Eingabemaske!$B$14&lt;=1,L13/Eingabemaske!$B$14&gt;0.9),0.7,IF(AND(L13/Eingabemaske!$B$14&lt;=1.1,L13/Eingabemaske!$B$14&gt;1),0.65,IF(AND(L13/Eingabemaske!$B$14&lt;=1.2,L13/Eingabemaske!$B$14&gt;1.1),0.6,IF(AND(L13/Eingabemaske!$B$14&lt;=1.3,L13/Eingabemaske!$B$14&gt;1.2),0.55,IF(L13/Eingabemaske!$B$14&gt;1.3,0.5,"Fehler"))))))))))</f>
        <v>0.5</v>
      </c>
      <c r="M15" s="362">
        <f>IF(M13/Eingabemaske!$B$14&lt;=0.5,0.95,IF(AND(M13/Eingabemaske!$B$14&lt;=0.6,M13/Eingabemaske!$B$14&gt;0.5),0.9,IF(AND(M13/Eingabemaske!$B$14&lt;=0.7,M13/Eingabemaske!$B$14&gt;0.6),0.85,IF(AND(M13/Eingabemaske!$B$14&lt;=0.8,M13/Eingabemaske!$B$14&gt;0.7),0.8,IF(AND(M13/Eingabemaske!$B$14&lt;=0.9,M13/Eingabemaske!$B$14&gt;0.8),0.75,IF(AND(M13/Eingabemaske!$B$14&lt;=1,M13/Eingabemaske!$B$14&gt;0.9),0.7,IF(AND(M13/Eingabemaske!$B$14&lt;=1.1,M13/Eingabemaske!$B$14&gt;1),0.65,IF(AND(M13/Eingabemaske!$B$14&lt;=1.2,M13/Eingabemaske!$B$14&gt;1.1),0.6,IF(AND(M13/Eingabemaske!$B$14&lt;=1.3,M13/Eingabemaske!$B$14&gt;1.2),0.55,IF(M13/Eingabemaske!$B$14&gt;1.3,0.5,"Fehler"))))))))))</f>
        <v>0.5</v>
      </c>
      <c r="N15" s="362">
        <f>IF(N13/Eingabemaske!$B$14&lt;=0.5,0.95,IF(AND(N13/Eingabemaske!$B$14&lt;=0.6,N13/Eingabemaske!$B$14&gt;0.5),0.9,IF(AND(N13/Eingabemaske!$B$14&lt;=0.7,N13/Eingabemaske!$B$14&gt;0.6),0.85,IF(AND(N13/Eingabemaske!$B$14&lt;=0.8,N13/Eingabemaske!$B$14&gt;0.7),0.8,IF(AND(N13/Eingabemaske!$B$14&lt;=0.9,N13/Eingabemaske!$B$14&gt;0.8),0.75,IF(AND(N13/Eingabemaske!$B$14&lt;=1,N13/Eingabemaske!$B$14&gt;0.9),0.7,IF(AND(N13/Eingabemaske!$B$14&lt;=1.1,N13/Eingabemaske!$B$14&gt;1),0.65,IF(AND(N13/Eingabemaske!$B$14&lt;=1.2,N13/Eingabemaske!$B$14&gt;1.1),0.6,IF(AND(N13/Eingabemaske!$B$14&lt;=1.3,N13/Eingabemaske!$B$14&gt;1.2),0.55,IF(N13/Eingabemaske!$B$14&gt;1.3,0.5,"Fehler"))))))))))</f>
        <v>0.5</v>
      </c>
      <c r="O15" s="362">
        <f>IF(O13/Eingabemaske!$B$14&lt;=0.5,0.95,IF(AND(O13/Eingabemaske!$B$14&lt;=0.6,O13/Eingabemaske!$B$14&gt;0.5),0.9,IF(AND(O13/Eingabemaske!$B$14&lt;=0.7,O13/Eingabemaske!$B$14&gt;0.6),0.85,IF(AND(O13/Eingabemaske!$B$14&lt;=0.8,O13/Eingabemaske!$B$14&gt;0.7),0.8,IF(AND(O13/Eingabemaske!$B$14&lt;=0.9,O13/Eingabemaske!$B$14&gt;0.8),0.75,IF(AND(O13/Eingabemaske!$B$14&lt;=1,O13/Eingabemaske!$B$14&gt;0.9),0.7,IF(AND(O13/Eingabemaske!$B$14&lt;=1.1,O13/Eingabemaske!$B$14&gt;1),0.65,IF(AND(O13/Eingabemaske!$B$14&lt;=1.2,O13/Eingabemaske!$B$14&gt;1.1),0.6,IF(AND(O13/Eingabemaske!$B$14&lt;=1.3,O13/Eingabemaske!$B$14&gt;1.2),0.55,IF(O13/Eingabemaske!$B$14&gt;1.3,0.5,"Fehler"))))))))))</f>
        <v>0.5</v>
      </c>
      <c r="P15" s="362">
        <f>IF(P13/Eingabemaske!$B$14&lt;=0.5,0.95,IF(AND(P13/Eingabemaske!$B$14&lt;=0.6,P13/Eingabemaske!$B$14&gt;0.5),0.9,IF(AND(P13/Eingabemaske!$B$14&lt;=0.7,P13/Eingabemaske!$B$14&gt;0.6),0.85,IF(AND(P13/Eingabemaske!$B$14&lt;=0.8,P13/Eingabemaske!$B$14&gt;0.7),0.8,IF(AND(P13/Eingabemaske!$B$14&lt;=0.9,P13/Eingabemaske!$B$14&gt;0.8),0.75,IF(AND(P13/Eingabemaske!$B$14&lt;=1,P13/Eingabemaske!$B$14&gt;0.9),0.7,IF(AND(P13/Eingabemaske!$B$14&lt;=1.1,P13/Eingabemaske!$B$14&gt;1),0.65,IF(AND(P13/Eingabemaske!$B$14&lt;=1.2,P13/Eingabemaske!$B$14&gt;1.1),0.6,IF(AND(P13/Eingabemaske!$B$14&lt;=1.3,P13/Eingabemaske!$B$14&gt;1.2),0.55,IF(P13/Eingabemaske!$B$14&gt;1.3,0.5,"Fehler"))))))))))</f>
        <v>0.5</v>
      </c>
      <c r="Q15" s="362">
        <f>IF(Q13/Eingabemaske!$B$14&lt;=0.5,0.95,IF(AND(Q13/Eingabemaske!$B$14&lt;=0.6,Q13/Eingabemaske!$B$14&gt;0.5),0.9,IF(AND(Q13/Eingabemaske!$B$14&lt;=0.7,Q13/Eingabemaske!$B$14&gt;0.6),0.85,IF(AND(Q13/Eingabemaske!$B$14&lt;=0.8,Q13/Eingabemaske!$B$14&gt;0.7),0.8,IF(AND(Q13/Eingabemaske!$B$14&lt;=0.9,Q13/Eingabemaske!$B$14&gt;0.8),0.75,IF(AND(Q13/Eingabemaske!$B$14&lt;=1,Q13/Eingabemaske!$B$14&gt;0.9),0.7,IF(AND(Q13/Eingabemaske!$B$14&lt;=1.1,Q13/Eingabemaske!$B$14&gt;1),0.65,IF(AND(Q13/Eingabemaske!$B$14&lt;=1.2,Q13/Eingabemaske!$B$14&gt;1.1),0.6,IF(AND(Q13/Eingabemaske!$B$14&lt;=1.3,Q13/Eingabemaske!$B$14&gt;1.2),0.55,IF(Q13/Eingabemaske!$B$14&gt;1.3,0.5,"Fehler"))))))))))</f>
        <v>0.5</v>
      </c>
      <c r="R15" s="362">
        <f>IF(R13/Eingabemaske!$B$14&lt;=0.5,0.95,IF(AND(R13/Eingabemaske!$B$14&lt;=0.6,R13/Eingabemaske!$B$14&gt;0.5),0.9,IF(AND(R13/Eingabemaske!$B$14&lt;=0.7,R13/Eingabemaske!$B$14&gt;0.6),0.85,IF(AND(R13/Eingabemaske!$B$14&lt;=0.8,R13/Eingabemaske!$B$14&gt;0.7),0.8,IF(AND(R13/Eingabemaske!$B$14&lt;=0.9,R13/Eingabemaske!$B$14&gt;0.8),0.75,IF(AND(R13/Eingabemaske!$B$14&lt;=1,R13/Eingabemaske!$B$14&gt;0.9),0.7,IF(AND(R13/Eingabemaske!$B$14&lt;=1.1,R13/Eingabemaske!$B$14&gt;1),0.65,IF(AND(R13/Eingabemaske!$B$14&lt;=1.2,R13/Eingabemaske!$B$14&gt;1.1),0.6,IF(AND(R13/Eingabemaske!$B$14&lt;=1.3,R13/Eingabemaske!$B$14&gt;1.2),0.55,IF(R13/Eingabemaske!$B$14&gt;1.3,0.5,"Fehler"))))))))))</f>
        <v>0.5</v>
      </c>
      <c r="S15" s="362">
        <f>IF(S13/Eingabemaske!$B$14&lt;=0.5,0.95,IF(AND(S13/Eingabemaske!$B$14&lt;=0.6,S13/Eingabemaske!$B$14&gt;0.5),0.9,IF(AND(S13/Eingabemaske!$B$14&lt;=0.7,S13/Eingabemaske!$B$14&gt;0.6),0.85,IF(AND(S13/Eingabemaske!$B$14&lt;=0.8,S13/Eingabemaske!$B$14&gt;0.7),0.8,IF(AND(S13/Eingabemaske!$B$14&lt;=0.9,S13/Eingabemaske!$B$14&gt;0.8),0.75,IF(AND(S13/Eingabemaske!$B$14&lt;=1,S13/Eingabemaske!$B$14&gt;0.9),0.7,IF(AND(S13/Eingabemaske!$B$14&lt;=1.1,S13/Eingabemaske!$B$14&gt;1),0.65,IF(AND(S13/Eingabemaske!$B$14&lt;=1.2,S13/Eingabemaske!$B$14&gt;1.1),0.6,IF(AND(S13/Eingabemaske!$B$14&lt;=1.3,S13/Eingabemaske!$B$14&gt;1.2),0.55,IF(S13/Eingabemaske!$B$14&gt;1.3,0.5,"Fehler"))))))))))</f>
        <v>0.5</v>
      </c>
      <c r="T15" s="362">
        <f>IF(T13/Eingabemaske!$B$14&lt;=0.5,0.95,IF(AND(T13/Eingabemaske!$B$14&lt;=0.6,T13/Eingabemaske!$B$14&gt;0.5),0.9,IF(AND(T13/Eingabemaske!$B$14&lt;=0.7,T13/Eingabemaske!$B$14&gt;0.6),0.85,IF(AND(T13/Eingabemaske!$B$14&lt;=0.8,T13/Eingabemaske!$B$14&gt;0.7),0.8,IF(AND(T13/Eingabemaske!$B$14&lt;=0.9,T13/Eingabemaske!$B$14&gt;0.8),0.75,IF(AND(T13/Eingabemaske!$B$14&lt;=1,T13/Eingabemaske!$B$14&gt;0.9),0.7,IF(AND(T13/Eingabemaske!$B$14&lt;=1.1,T13/Eingabemaske!$B$14&gt;1),0.65,IF(AND(T13/Eingabemaske!$B$14&lt;=1.2,T13/Eingabemaske!$B$14&gt;1.1),0.6,IF(AND(T13/Eingabemaske!$B$14&lt;=1.3,T13/Eingabemaske!$B$14&gt;1.2),0.55,IF(T13/Eingabemaske!$B$14&gt;1.3,0.5,"Fehler"))))))))))</f>
        <v>0.5</v>
      </c>
      <c r="U15" s="362">
        <f>IF(U13/Eingabemaske!$B$14&lt;=0.5,0.95,IF(AND(U13/Eingabemaske!$B$14&lt;=0.6,U13/Eingabemaske!$B$14&gt;0.5),0.9,IF(AND(U13/Eingabemaske!$B$14&lt;=0.7,U13/Eingabemaske!$B$14&gt;0.6),0.85,IF(AND(U13/Eingabemaske!$B$14&lt;=0.8,U13/Eingabemaske!$B$14&gt;0.7),0.8,IF(AND(U13/Eingabemaske!$B$14&lt;=0.9,U13/Eingabemaske!$B$14&gt;0.8),0.75,IF(AND(U13/Eingabemaske!$B$14&lt;=1,U13/Eingabemaske!$B$14&gt;0.9),0.7,IF(AND(U13/Eingabemaske!$B$14&lt;=1.1,U13/Eingabemaske!$B$14&gt;1),0.65,IF(AND(U13/Eingabemaske!$B$14&lt;=1.2,U13/Eingabemaske!$B$14&gt;1.1),0.6,IF(AND(U13/Eingabemaske!$B$14&lt;=1.3,U13/Eingabemaske!$B$14&gt;1.2),0.55,IF(U13/Eingabemaske!$B$14&gt;1.3,0.5,"Fehler"))))))))))</f>
        <v>0.5</v>
      </c>
      <c r="V15" s="362">
        <f>IF(V13/Eingabemaske!$B$14&lt;=0.5,0.95,IF(AND(V13/Eingabemaske!$B$14&lt;=0.6,V13/Eingabemaske!$B$14&gt;0.5),0.9,IF(AND(V13/Eingabemaske!$B$14&lt;=0.7,V13/Eingabemaske!$B$14&gt;0.6),0.85,IF(AND(V13/Eingabemaske!$B$14&lt;=0.8,V13/Eingabemaske!$B$14&gt;0.7),0.8,IF(AND(V13/Eingabemaske!$B$14&lt;=0.9,V13/Eingabemaske!$B$14&gt;0.8),0.75,IF(AND(V13/Eingabemaske!$B$14&lt;=1,V13/Eingabemaske!$B$14&gt;0.9),0.7,IF(AND(V13/Eingabemaske!$B$14&lt;=1.1,V13/Eingabemaske!$B$14&gt;1),0.65,IF(AND(V13/Eingabemaske!$B$14&lt;=1.2,V13/Eingabemaske!$B$14&gt;1.1),0.6,IF(AND(V13/Eingabemaske!$B$14&lt;=1.3,V13/Eingabemaske!$B$14&gt;1.2),0.55,IF(V13/Eingabemaske!$B$14&gt;1.3,0.5,"Fehler"))))))))))</f>
        <v>0.5</v>
      </c>
      <c r="W15" s="362">
        <f>IF(W13/Eingabemaske!$B$14&lt;=0.5,0.95,IF(AND(W13/Eingabemaske!$B$14&lt;=0.6,W13/Eingabemaske!$B$14&gt;0.5),0.9,IF(AND(W13/Eingabemaske!$B$14&lt;=0.7,W13/Eingabemaske!$B$14&gt;0.6),0.85,IF(AND(W13/Eingabemaske!$B$14&lt;=0.8,W13/Eingabemaske!$B$14&gt;0.7),0.8,IF(AND(W13/Eingabemaske!$B$14&lt;=0.9,W13/Eingabemaske!$B$14&gt;0.8),0.75,IF(AND(W13/Eingabemaske!$B$14&lt;=1,W13/Eingabemaske!$B$14&gt;0.9),0.7,IF(AND(W13/Eingabemaske!$B$14&lt;=1.1,W13/Eingabemaske!$B$14&gt;1),0.65,IF(AND(W13/Eingabemaske!$B$14&lt;=1.2,W13/Eingabemaske!$B$14&gt;1.1),0.6,IF(AND(W13/Eingabemaske!$B$14&lt;=1.3,W13/Eingabemaske!$B$14&gt;1.2),0.55,IF(W13/Eingabemaske!$B$14&gt;1.3,0.5,"Fehler"))))))))))</f>
        <v>0.5</v>
      </c>
      <c r="X15" s="362">
        <f>IF(X13/Eingabemaske!$B$14&lt;=0.5,0.95,IF(AND(X13/Eingabemaske!$B$14&lt;=0.6,X13/Eingabemaske!$B$14&gt;0.5),0.9,IF(AND(X13/Eingabemaske!$B$14&lt;=0.7,X13/Eingabemaske!$B$14&gt;0.6),0.85,IF(AND(X13/Eingabemaske!$B$14&lt;=0.8,X13/Eingabemaske!$B$14&gt;0.7),0.8,IF(AND(X13/Eingabemaske!$B$14&lt;=0.9,X13/Eingabemaske!$B$14&gt;0.8),0.75,IF(AND(X13/Eingabemaske!$B$14&lt;=1,X13/Eingabemaske!$B$14&gt;0.9),0.7,IF(AND(X13/Eingabemaske!$B$14&lt;=1.1,X13/Eingabemaske!$B$14&gt;1),0.65,IF(AND(X13/Eingabemaske!$B$14&lt;=1.2,X13/Eingabemaske!$B$14&gt;1.1),0.6,IF(AND(X13/Eingabemaske!$B$14&lt;=1.3,X13/Eingabemaske!$B$14&gt;1.2),0.55,IF(X13/Eingabemaske!$B$14&gt;1.3,0.5,"Fehler"))))))))))</f>
        <v>0.5</v>
      </c>
      <c r="Y15" s="362">
        <f>IF(Y13/Eingabemaske!$B$14&lt;=0.5,0.95,IF(AND(Y13/Eingabemaske!$B$14&lt;=0.6,Y13/Eingabemaske!$B$14&gt;0.5),0.9,IF(AND(Y13/Eingabemaske!$B$14&lt;=0.7,Y13/Eingabemaske!$B$14&gt;0.6),0.85,IF(AND(Y13/Eingabemaske!$B$14&lt;=0.8,Y13/Eingabemaske!$B$14&gt;0.7),0.8,IF(AND(Y13/Eingabemaske!$B$14&lt;=0.9,Y13/Eingabemaske!$B$14&gt;0.8),0.75,IF(AND(Y13/Eingabemaske!$B$14&lt;=1,Y13/Eingabemaske!$B$14&gt;0.9),0.7,IF(AND(Y13/Eingabemaske!$B$14&lt;=1.1,Y13/Eingabemaske!$B$14&gt;1),0.65,IF(AND(Y13/Eingabemaske!$B$14&lt;=1.2,Y13/Eingabemaske!$B$14&gt;1.1),0.6,IF(AND(Y13/Eingabemaske!$B$14&lt;=1.3,Y13/Eingabemaske!$B$14&gt;1.2),0.55,IF(Y13/Eingabemaske!$B$14&gt;1.3,0.5,"Fehler"))))))))))</f>
        <v>0.5</v>
      </c>
      <c r="Z15" s="363">
        <f>IF(Z13/Eingabemaske!$B$14&lt;=0.5,0.95,IF(AND(Z13/Eingabemaske!$B$14&lt;=0.6,Z13/Eingabemaske!$B$14&gt;0.5),0.9,IF(AND(Z13/Eingabemaske!$B$14&lt;=0.7,Z13/Eingabemaske!$B$14&gt;0.6),0.85,IF(AND(Z13/Eingabemaske!$B$14&lt;=0.8,Z13/Eingabemaske!$B$14&gt;0.7),0.8,IF(AND(Z13/Eingabemaske!$B$14&lt;=0.9,Z13/Eingabemaske!$B$14&gt;0.8),0.75,IF(AND(Z13/Eingabemaske!$B$14&lt;=1,Z13/Eingabemaske!$B$14&gt;0.9),0.7,IF(AND(Z13/Eingabemaske!$B$14&lt;=1.1,Z13/Eingabemaske!$B$14&gt;1),0.65,IF(AND(Z13/Eingabemaske!$B$14&lt;=1.2,Z13/Eingabemaske!$B$14&gt;1.1),0.6,IF(AND(Z13/Eingabemaske!$B$14&lt;=1.3,Z13/Eingabemaske!$B$14&gt;1.2),0.55,IF(Z13/Eingabemaske!$B$14&gt;1.3,0.5,"Fehler"))))))))))</f>
        <v>0.5</v>
      </c>
      <c r="AB15" s="81"/>
      <c r="AC15" s="253"/>
      <c r="AD15" s="253"/>
      <c r="AE15" s="253"/>
      <c r="AF15" s="253"/>
      <c r="AG15" s="253"/>
      <c r="AH15" s="253"/>
      <c r="AI15" s="253"/>
      <c r="AJ15" s="253"/>
      <c r="AK15" s="253"/>
      <c r="AL15" s="253"/>
      <c r="AM15" s="253"/>
      <c r="AN15" s="253"/>
      <c r="AY15" s="253"/>
      <c r="AZ15" s="253"/>
    </row>
    <row r="16" spans="1:52" x14ac:dyDescent="0.25">
      <c r="A16" s="415"/>
      <c r="B16" s="416"/>
      <c r="C16" s="21"/>
      <c r="D16" s="85"/>
      <c r="E16" s="353" t="s">
        <v>108</v>
      </c>
      <c r="F16" s="345"/>
      <c r="G16" s="346">
        <f t="shared" ref="G16:Z16" si="7">1-G15</f>
        <v>0.5</v>
      </c>
      <c r="H16" s="347">
        <f t="shared" si="7"/>
        <v>0.5</v>
      </c>
      <c r="I16" s="347">
        <f t="shared" si="7"/>
        <v>0.5</v>
      </c>
      <c r="J16" s="347">
        <f t="shared" si="7"/>
        <v>0.5</v>
      </c>
      <c r="K16" s="347">
        <f t="shared" si="7"/>
        <v>0.5</v>
      </c>
      <c r="L16" s="347">
        <f t="shared" si="7"/>
        <v>0.5</v>
      </c>
      <c r="M16" s="347">
        <f t="shared" si="7"/>
        <v>0.5</v>
      </c>
      <c r="N16" s="347">
        <f t="shared" si="7"/>
        <v>0.5</v>
      </c>
      <c r="O16" s="347">
        <f t="shared" si="7"/>
        <v>0.5</v>
      </c>
      <c r="P16" s="347">
        <f t="shared" si="7"/>
        <v>0.5</v>
      </c>
      <c r="Q16" s="347">
        <f t="shared" si="7"/>
        <v>0.5</v>
      </c>
      <c r="R16" s="347">
        <f t="shared" si="7"/>
        <v>0.5</v>
      </c>
      <c r="S16" s="347">
        <f t="shared" si="7"/>
        <v>0.5</v>
      </c>
      <c r="T16" s="347">
        <f t="shared" si="7"/>
        <v>0.5</v>
      </c>
      <c r="U16" s="347">
        <f t="shared" si="7"/>
        <v>0.5</v>
      </c>
      <c r="V16" s="347">
        <f t="shared" si="7"/>
        <v>0.5</v>
      </c>
      <c r="W16" s="347">
        <f t="shared" si="7"/>
        <v>0.5</v>
      </c>
      <c r="X16" s="347">
        <f t="shared" si="7"/>
        <v>0.5</v>
      </c>
      <c r="Y16" s="347">
        <f t="shared" si="7"/>
        <v>0.5</v>
      </c>
      <c r="Z16" s="348">
        <f t="shared" si="7"/>
        <v>0.5</v>
      </c>
      <c r="AA16" s="28"/>
      <c r="AY16" s="15"/>
      <c r="AZ16" s="15"/>
    </row>
    <row r="17" spans="1:52" x14ac:dyDescent="0.25">
      <c r="C17" s="96"/>
      <c r="D17" s="97"/>
      <c r="E17" s="57"/>
      <c r="F17" s="80"/>
      <c r="G17" s="40"/>
      <c r="H17" s="40"/>
      <c r="I17" s="40"/>
      <c r="J17" s="40"/>
      <c r="K17" s="40"/>
      <c r="L17" s="40"/>
      <c r="M17" s="40"/>
      <c r="N17" s="40"/>
      <c r="O17" s="40"/>
      <c r="P17" s="40"/>
      <c r="Q17" s="40"/>
      <c r="R17" s="40"/>
      <c r="S17" s="40"/>
      <c r="T17" s="40"/>
      <c r="U17" s="40"/>
      <c r="V17" s="40"/>
      <c r="W17" s="40"/>
      <c r="X17" s="40"/>
      <c r="Y17" s="40"/>
      <c r="Z17" s="36"/>
      <c r="AA17" s="28"/>
    </row>
    <row r="18" spans="1:52" ht="15" customHeight="1" x14ac:dyDescent="0.25">
      <c r="A18" s="411" t="s">
        <v>99</v>
      </c>
      <c r="B18" s="412"/>
      <c r="C18" s="83"/>
      <c r="D18" s="84"/>
      <c r="E18" s="417" t="s">
        <v>40</v>
      </c>
      <c r="F18" s="418"/>
      <c r="G18" s="418"/>
      <c r="H18" s="418"/>
      <c r="I18" s="418"/>
      <c r="J18" s="418"/>
      <c r="K18" s="418"/>
      <c r="L18" s="418"/>
      <c r="M18" s="418"/>
      <c r="N18" s="418"/>
      <c r="O18" s="418"/>
      <c r="P18" s="418"/>
      <c r="Q18" s="418"/>
      <c r="R18" s="418"/>
      <c r="S18" s="418"/>
      <c r="T18" s="418"/>
      <c r="U18" s="418"/>
      <c r="V18" s="418"/>
      <c r="W18" s="418"/>
      <c r="X18" s="418"/>
      <c r="Y18" s="418"/>
      <c r="Z18" s="419"/>
      <c r="AA18" s="9"/>
      <c r="AY18" s="15"/>
      <c r="AZ18" s="15"/>
    </row>
    <row r="19" spans="1:52" x14ac:dyDescent="0.25">
      <c r="A19" s="413"/>
      <c r="B19" s="414"/>
      <c r="C19" s="7"/>
      <c r="D19" s="19"/>
      <c r="E19" s="343" t="s">
        <v>208</v>
      </c>
      <c r="F19" s="12" t="s">
        <v>6</v>
      </c>
      <c r="G19" s="41">
        <v>1900</v>
      </c>
      <c r="H19" s="35">
        <v>2200</v>
      </c>
      <c r="I19" s="41">
        <v>2500</v>
      </c>
      <c r="J19" s="41">
        <v>2800</v>
      </c>
      <c r="K19" s="41">
        <v>2900</v>
      </c>
      <c r="L19" s="41">
        <v>3000</v>
      </c>
      <c r="M19" s="41">
        <v>3100</v>
      </c>
      <c r="N19" s="41">
        <v>3200</v>
      </c>
      <c r="O19" s="41">
        <v>3300</v>
      </c>
      <c r="P19" s="41">
        <v>3400</v>
      </c>
      <c r="Q19" s="41">
        <v>3410</v>
      </c>
      <c r="R19" s="41">
        <v>3420</v>
      </c>
      <c r="S19" s="41">
        <v>3430</v>
      </c>
      <c r="T19" s="41">
        <v>3440</v>
      </c>
      <c r="U19" s="41">
        <v>3450</v>
      </c>
      <c r="V19" s="41">
        <v>3460</v>
      </c>
      <c r="W19" s="41">
        <v>3470</v>
      </c>
      <c r="X19" s="41">
        <v>3480</v>
      </c>
      <c r="Y19" s="41">
        <v>3490</v>
      </c>
      <c r="Z19" s="49">
        <v>3500</v>
      </c>
      <c r="AA19" s="9"/>
      <c r="AB19" s="75" t="s">
        <v>95</v>
      </c>
      <c r="AY19" s="15"/>
      <c r="AZ19" s="15"/>
    </row>
    <row r="20" spans="1:52" x14ac:dyDescent="0.25">
      <c r="A20" s="413"/>
      <c r="B20" s="414"/>
      <c r="C20" s="7"/>
      <c r="D20" s="19"/>
      <c r="E20" s="344" t="s">
        <v>50</v>
      </c>
      <c r="F20" s="12" t="s">
        <v>6</v>
      </c>
      <c r="G20" s="41">
        <f t="shared" ref="G20:Z20" si="8">+G19*0.25</f>
        <v>475</v>
      </c>
      <c r="H20" s="41">
        <f>+H19*0.25</f>
        <v>550</v>
      </c>
      <c r="I20" s="41">
        <f t="shared" si="8"/>
        <v>625</v>
      </c>
      <c r="J20" s="41">
        <f t="shared" si="8"/>
        <v>700</v>
      </c>
      <c r="K20" s="41">
        <f t="shared" si="8"/>
        <v>725</v>
      </c>
      <c r="L20" s="41">
        <f t="shared" si="8"/>
        <v>750</v>
      </c>
      <c r="M20" s="41">
        <f t="shared" si="8"/>
        <v>775</v>
      </c>
      <c r="N20" s="41">
        <f t="shared" si="8"/>
        <v>800</v>
      </c>
      <c r="O20" s="41">
        <f t="shared" si="8"/>
        <v>825</v>
      </c>
      <c r="P20" s="41">
        <f t="shared" si="8"/>
        <v>850</v>
      </c>
      <c r="Q20" s="41">
        <f t="shared" si="8"/>
        <v>852.5</v>
      </c>
      <c r="R20" s="41">
        <f t="shared" si="8"/>
        <v>855</v>
      </c>
      <c r="S20" s="41">
        <f t="shared" si="8"/>
        <v>857.5</v>
      </c>
      <c r="T20" s="41">
        <f t="shared" si="8"/>
        <v>860</v>
      </c>
      <c r="U20" s="41">
        <f t="shared" si="8"/>
        <v>862.5</v>
      </c>
      <c r="V20" s="41">
        <f t="shared" si="8"/>
        <v>865</v>
      </c>
      <c r="W20" s="41">
        <f t="shared" si="8"/>
        <v>867.5</v>
      </c>
      <c r="X20" s="41">
        <f t="shared" si="8"/>
        <v>870</v>
      </c>
      <c r="Y20" s="41">
        <f t="shared" si="8"/>
        <v>872.5</v>
      </c>
      <c r="Z20" s="49">
        <f t="shared" si="8"/>
        <v>875</v>
      </c>
      <c r="AA20" s="9"/>
      <c r="AB20" s="79" t="s">
        <v>231</v>
      </c>
      <c r="AY20" s="15"/>
      <c r="AZ20" s="15"/>
    </row>
    <row r="21" spans="1:52" x14ac:dyDescent="0.25">
      <c r="A21" s="413"/>
      <c r="B21" s="414"/>
      <c r="C21" s="56"/>
      <c r="D21" s="19"/>
      <c r="E21" s="343" t="s">
        <v>126</v>
      </c>
      <c r="F21" s="12" t="s">
        <v>6</v>
      </c>
      <c r="G21" s="41">
        <f>IF(G5&gt;31%,G19*0.6,0)</f>
        <v>0</v>
      </c>
      <c r="H21" s="41">
        <f>IF(H5&gt;31%,H19*0.6,0)</f>
        <v>0</v>
      </c>
      <c r="I21" s="41">
        <f>IF(I5&gt;31%,I19*0.6,0)</f>
        <v>0</v>
      </c>
      <c r="J21" s="41">
        <f>IF(J5&gt;31%,J19*0.6,0)</f>
        <v>0</v>
      </c>
      <c r="K21" s="41">
        <f t="shared" ref="K21:P21" si="9">IF(K5&gt;33%,K19*0.6,0)</f>
        <v>0</v>
      </c>
      <c r="L21" s="41">
        <f t="shared" si="9"/>
        <v>0</v>
      </c>
      <c r="M21" s="41">
        <f t="shared" si="9"/>
        <v>0</v>
      </c>
      <c r="N21" s="41">
        <f t="shared" si="9"/>
        <v>0</v>
      </c>
      <c r="O21" s="41">
        <f t="shared" si="9"/>
        <v>0</v>
      </c>
      <c r="P21" s="41">
        <f t="shared" si="9"/>
        <v>0</v>
      </c>
      <c r="Q21" s="41">
        <f t="shared" ref="Q21:Z21" si="10">IF(Q5&gt;35%,Q19*0.6,0)</f>
        <v>0</v>
      </c>
      <c r="R21" s="41">
        <f t="shared" si="10"/>
        <v>0</v>
      </c>
      <c r="S21" s="41">
        <f t="shared" si="10"/>
        <v>0</v>
      </c>
      <c r="T21" s="41">
        <f t="shared" si="10"/>
        <v>0</v>
      </c>
      <c r="U21" s="41">
        <f t="shared" si="10"/>
        <v>0</v>
      </c>
      <c r="V21" s="41">
        <f t="shared" si="10"/>
        <v>0</v>
      </c>
      <c r="W21" s="41">
        <f t="shared" si="10"/>
        <v>0</v>
      </c>
      <c r="X21" s="41">
        <f t="shared" si="10"/>
        <v>0</v>
      </c>
      <c r="Y21" s="41">
        <f t="shared" si="10"/>
        <v>0</v>
      </c>
      <c r="Z21" s="49">
        <f t="shared" si="10"/>
        <v>0</v>
      </c>
      <c r="AA21" s="9"/>
      <c r="AB21" s="75" t="s">
        <v>96</v>
      </c>
      <c r="AY21" s="15"/>
      <c r="AZ21" s="15"/>
    </row>
    <row r="22" spans="1:52" x14ac:dyDescent="0.25">
      <c r="A22" s="413"/>
      <c r="B22" s="414"/>
      <c r="C22" s="7"/>
      <c r="D22" s="19"/>
      <c r="E22" s="26" t="s">
        <v>51</v>
      </c>
      <c r="F22" s="12" t="s">
        <v>6</v>
      </c>
      <c r="G22" s="113">
        <f>SUM(G19:G21)</f>
        <v>2375</v>
      </c>
      <c r="H22" s="41">
        <f t="shared" ref="H22:Z22" si="11">SUM(H19:H21)</f>
        <v>2750</v>
      </c>
      <c r="I22" s="41">
        <f t="shared" si="11"/>
        <v>3125</v>
      </c>
      <c r="J22" s="41">
        <f t="shared" si="11"/>
        <v>3500</v>
      </c>
      <c r="K22" s="41">
        <f t="shared" si="11"/>
        <v>3625</v>
      </c>
      <c r="L22" s="41">
        <f t="shared" si="11"/>
        <v>3750</v>
      </c>
      <c r="M22" s="41">
        <f t="shared" si="11"/>
        <v>3875</v>
      </c>
      <c r="N22" s="41">
        <f t="shared" si="11"/>
        <v>4000</v>
      </c>
      <c r="O22" s="41">
        <f t="shared" si="11"/>
        <v>4125</v>
      </c>
      <c r="P22" s="41">
        <f t="shared" si="11"/>
        <v>4250</v>
      </c>
      <c r="Q22" s="41">
        <f t="shared" si="11"/>
        <v>4262.5</v>
      </c>
      <c r="R22" s="41">
        <f t="shared" si="11"/>
        <v>4275</v>
      </c>
      <c r="S22" s="41">
        <f t="shared" si="11"/>
        <v>4287.5</v>
      </c>
      <c r="T22" s="41">
        <f t="shared" si="11"/>
        <v>4300</v>
      </c>
      <c r="U22" s="41">
        <f t="shared" si="11"/>
        <v>4312.5</v>
      </c>
      <c r="V22" s="41">
        <f t="shared" si="11"/>
        <v>4325</v>
      </c>
      <c r="W22" s="41">
        <f t="shared" si="11"/>
        <v>4337.5</v>
      </c>
      <c r="X22" s="41">
        <f t="shared" si="11"/>
        <v>4350</v>
      </c>
      <c r="Y22" s="41">
        <f t="shared" si="11"/>
        <v>4362.5</v>
      </c>
      <c r="Z22" s="49">
        <f t="shared" si="11"/>
        <v>4375</v>
      </c>
      <c r="AA22" s="9"/>
      <c r="AB22" s="75" t="s">
        <v>97</v>
      </c>
      <c r="AY22" s="15"/>
      <c r="AZ22" s="15"/>
    </row>
    <row r="23" spans="1:52" x14ac:dyDescent="0.25">
      <c r="A23" s="413"/>
      <c r="B23" s="414"/>
      <c r="C23" s="7"/>
      <c r="D23" s="19"/>
      <c r="E23" s="417" t="s">
        <v>101</v>
      </c>
      <c r="F23" s="418"/>
      <c r="G23" s="418"/>
      <c r="H23" s="418"/>
      <c r="I23" s="418"/>
      <c r="J23" s="418"/>
      <c r="K23" s="418"/>
      <c r="L23" s="418"/>
      <c r="M23" s="418"/>
      <c r="N23" s="418"/>
      <c r="O23" s="418"/>
      <c r="P23" s="418"/>
      <c r="Q23" s="418"/>
      <c r="R23" s="418"/>
      <c r="S23" s="418"/>
      <c r="T23" s="418"/>
      <c r="U23" s="418"/>
      <c r="V23" s="418"/>
      <c r="W23" s="418"/>
      <c r="X23" s="418"/>
      <c r="Y23" s="418"/>
      <c r="Z23" s="419"/>
      <c r="AA23" s="9"/>
      <c r="AY23" s="15"/>
      <c r="AZ23" s="15"/>
    </row>
    <row r="24" spans="1:52" s="212" customFormat="1" x14ac:dyDescent="0.25">
      <c r="A24" s="413"/>
      <c r="B24" s="414"/>
      <c r="C24" s="210">
        <v>4</v>
      </c>
      <c r="D24" s="20" t="s">
        <v>13</v>
      </c>
      <c r="E24" s="343" t="s">
        <v>213</v>
      </c>
      <c r="F24" s="213" t="s">
        <v>15</v>
      </c>
      <c r="G24" s="254">
        <f t="shared" ref="G24:Z24" si="12">G13*$C$24/100*G15</f>
        <v>161.11867272941174</v>
      </c>
      <c r="H24" s="254">
        <f t="shared" si="12"/>
        <v>276.29656955055356</v>
      </c>
      <c r="I24" s="254">
        <f t="shared" si="12"/>
        <v>373.39906695330086</v>
      </c>
      <c r="J24" s="254">
        <f t="shared" si="12"/>
        <v>462.39225987163212</v>
      </c>
      <c r="K24" s="254">
        <f t="shared" si="12"/>
        <v>540.16178682199882</v>
      </c>
      <c r="L24" s="254">
        <f t="shared" si="12"/>
        <v>572.09950192730378</v>
      </c>
      <c r="M24" s="254">
        <f t="shared" si="12"/>
        <v>614.62901590915908</v>
      </c>
      <c r="N24" s="254">
        <f t="shared" si="12"/>
        <v>653.95627306943891</v>
      </c>
      <c r="O24" s="254">
        <f t="shared" si="12"/>
        <v>682.45287775948179</v>
      </c>
      <c r="P24" s="254">
        <f t="shared" si="12"/>
        <v>681.05023927322907</v>
      </c>
      <c r="Q24" s="254">
        <f t="shared" si="12"/>
        <v>659.13668260702525</v>
      </c>
      <c r="R24" s="254">
        <f t="shared" si="12"/>
        <v>626.41966094696716</v>
      </c>
      <c r="S24" s="254">
        <f t="shared" si="12"/>
        <v>615.74147916934828</v>
      </c>
      <c r="T24" s="254">
        <f t="shared" si="12"/>
        <v>602.90058559493355</v>
      </c>
      <c r="U24" s="254">
        <f t="shared" si="12"/>
        <v>587.94819501189488</v>
      </c>
      <c r="V24" s="254">
        <f t="shared" si="12"/>
        <v>570.92375309882129</v>
      </c>
      <c r="W24" s="254">
        <f t="shared" si="12"/>
        <v>490.8062202581205</v>
      </c>
      <c r="X24" s="254">
        <f t="shared" si="12"/>
        <v>431.6323446327292</v>
      </c>
      <c r="Y24" s="254">
        <f t="shared" si="12"/>
        <v>394.52794163784483</v>
      </c>
      <c r="Z24" s="255">
        <f t="shared" si="12"/>
        <v>369.05758406591769</v>
      </c>
      <c r="AB24" s="227"/>
      <c r="AC24" s="214"/>
      <c r="AD24" s="214"/>
      <c r="AE24" s="214"/>
      <c r="AF24" s="214"/>
      <c r="AG24" s="214"/>
      <c r="AH24" s="214"/>
      <c r="AI24" s="214"/>
      <c r="AJ24" s="214"/>
      <c r="AK24" s="214"/>
      <c r="AL24" s="214"/>
      <c r="AM24" s="214"/>
      <c r="AN24" s="214"/>
      <c r="AY24" s="214"/>
      <c r="AZ24" s="214"/>
    </row>
    <row r="25" spans="1:52" s="212" customFormat="1" x14ac:dyDescent="0.25">
      <c r="A25" s="413"/>
      <c r="B25" s="414"/>
      <c r="C25" s="210">
        <v>8</v>
      </c>
      <c r="D25" s="20" t="s">
        <v>13</v>
      </c>
      <c r="E25" s="343" t="s">
        <v>214</v>
      </c>
      <c r="F25" s="213" t="s">
        <v>15</v>
      </c>
      <c r="G25" s="254">
        <f t="shared" ref="G25:Z25" si="13">G13*$C$25/100*G16</f>
        <v>322.23734545882348</v>
      </c>
      <c r="H25" s="254">
        <f t="shared" si="13"/>
        <v>552.59313910110711</v>
      </c>
      <c r="I25" s="254">
        <f t="shared" si="13"/>
        <v>746.79813390660172</v>
      </c>
      <c r="J25" s="254">
        <f t="shared" si="13"/>
        <v>924.78451974326424</v>
      </c>
      <c r="K25" s="254">
        <f t="shared" si="13"/>
        <v>1080.3235736439976</v>
      </c>
      <c r="L25" s="254">
        <f t="shared" si="13"/>
        <v>1144.1990038546076</v>
      </c>
      <c r="M25" s="254">
        <f t="shared" si="13"/>
        <v>1229.2580318183182</v>
      </c>
      <c r="N25" s="254">
        <f t="shared" si="13"/>
        <v>1307.9125461388778</v>
      </c>
      <c r="O25" s="254">
        <f t="shared" si="13"/>
        <v>1364.9057555189636</v>
      </c>
      <c r="P25" s="254">
        <f t="shared" si="13"/>
        <v>1362.1004785464581</v>
      </c>
      <c r="Q25" s="254">
        <f t="shared" si="13"/>
        <v>1318.2733652140505</v>
      </c>
      <c r="R25" s="254">
        <f t="shared" si="13"/>
        <v>1252.8393218939343</v>
      </c>
      <c r="S25" s="254">
        <f t="shared" si="13"/>
        <v>1231.4829583386966</v>
      </c>
      <c r="T25" s="254">
        <f t="shared" si="13"/>
        <v>1205.8011711898671</v>
      </c>
      <c r="U25" s="254">
        <f t="shared" si="13"/>
        <v>1175.8963900237898</v>
      </c>
      <c r="V25" s="254">
        <f t="shared" si="13"/>
        <v>1141.8475061976426</v>
      </c>
      <c r="W25" s="254">
        <f t="shared" si="13"/>
        <v>981.61244051624101</v>
      </c>
      <c r="X25" s="254">
        <f t="shared" si="13"/>
        <v>863.2646892654584</v>
      </c>
      <c r="Y25" s="254">
        <f t="shared" si="13"/>
        <v>789.05588327568967</v>
      </c>
      <c r="Z25" s="255">
        <f t="shared" si="13"/>
        <v>738.11516813183539</v>
      </c>
      <c r="AB25" s="227"/>
      <c r="AC25" s="214"/>
      <c r="AD25" s="214"/>
      <c r="AE25" s="214"/>
      <c r="AF25" s="214"/>
      <c r="AG25" s="214"/>
      <c r="AH25" s="214"/>
      <c r="AI25" s="214"/>
      <c r="AJ25" s="214"/>
      <c r="AK25" s="214"/>
      <c r="AL25" s="214"/>
      <c r="AM25" s="214"/>
      <c r="AN25" s="214"/>
      <c r="AY25" s="214"/>
      <c r="AZ25" s="214"/>
    </row>
    <row r="26" spans="1:52" x14ac:dyDescent="0.25">
      <c r="A26" s="413"/>
      <c r="B26" s="414"/>
      <c r="C26" s="210">
        <v>60000</v>
      </c>
      <c r="D26" s="20" t="s">
        <v>209</v>
      </c>
      <c r="E26" s="343" t="s">
        <v>215</v>
      </c>
      <c r="F26" s="213" t="s">
        <v>212</v>
      </c>
      <c r="G26" s="254">
        <f t="shared" ref="G26:Z26" si="14">$C$26*G3*G15*$C$24/100+$C$26*G3*G16*$C$25/100</f>
        <v>3600</v>
      </c>
      <c r="H26" s="254">
        <f t="shared" si="14"/>
        <v>7200</v>
      </c>
      <c r="I26" s="254">
        <f t="shared" si="14"/>
        <v>10800</v>
      </c>
      <c r="J26" s="254">
        <f t="shared" si="14"/>
        <v>14400</v>
      </c>
      <c r="K26" s="254">
        <f t="shared" si="14"/>
        <v>18000</v>
      </c>
      <c r="L26" s="254">
        <f t="shared" si="14"/>
        <v>21600</v>
      </c>
      <c r="M26" s="254">
        <f t="shared" si="14"/>
        <v>25200</v>
      </c>
      <c r="N26" s="254">
        <f t="shared" si="14"/>
        <v>28800</v>
      </c>
      <c r="O26" s="254">
        <f t="shared" si="14"/>
        <v>32400</v>
      </c>
      <c r="P26" s="254">
        <f t="shared" si="14"/>
        <v>36000</v>
      </c>
      <c r="Q26" s="254">
        <f t="shared" si="14"/>
        <v>39600</v>
      </c>
      <c r="R26" s="254">
        <f t="shared" si="14"/>
        <v>43200</v>
      </c>
      <c r="S26" s="254">
        <f t="shared" si="14"/>
        <v>46800</v>
      </c>
      <c r="T26" s="254">
        <f t="shared" si="14"/>
        <v>50400</v>
      </c>
      <c r="U26" s="254">
        <f t="shared" si="14"/>
        <v>54000</v>
      </c>
      <c r="V26" s="254">
        <f t="shared" si="14"/>
        <v>57600</v>
      </c>
      <c r="W26" s="254">
        <f t="shared" si="14"/>
        <v>61200</v>
      </c>
      <c r="X26" s="254">
        <f t="shared" si="14"/>
        <v>64800</v>
      </c>
      <c r="Y26" s="254">
        <f t="shared" si="14"/>
        <v>68400</v>
      </c>
      <c r="Z26" s="255">
        <f t="shared" si="14"/>
        <v>72000</v>
      </c>
      <c r="AA26" s="9"/>
      <c r="AB26" s="75" t="s">
        <v>210</v>
      </c>
      <c r="AY26" s="15"/>
      <c r="AZ26" s="15"/>
    </row>
    <row r="27" spans="1:52" x14ac:dyDescent="0.25">
      <c r="A27" s="413"/>
      <c r="B27" s="414"/>
      <c r="C27" s="4">
        <v>15</v>
      </c>
      <c r="D27" s="20" t="s">
        <v>28</v>
      </c>
      <c r="E27" s="11" t="s">
        <v>35</v>
      </c>
      <c r="F27" s="213" t="s">
        <v>28</v>
      </c>
      <c r="G27" s="254">
        <f t="shared" ref="G27:Z27" si="15">$C$27</f>
        <v>15</v>
      </c>
      <c r="H27" s="209">
        <f t="shared" si="15"/>
        <v>15</v>
      </c>
      <c r="I27" s="209">
        <f t="shared" si="15"/>
        <v>15</v>
      </c>
      <c r="J27" s="209">
        <f t="shared" si="15"/>
        <v>15</v>
      </c>
      <c r="K27" s="254">
        <f t="shared" si="15"/>
        <v>15</v>
      </c>
      <c r="L27" s="209">
        <f t="shared" si="15"/>
        <v>15</v>
      </c>
      <c r="M27" s="209">
        <f t="shared" si="15"/>
        <v>15</v>
      </c>
      <c r="N27" s="209">
        <f t="shared" si="15"/>
        <v>15</v>
      </c>
      <c r="O27" s="209">
        <f t="shared" si="15"/>
        <v>15</v>
      </c>
      <c r="P27" s="254">
        <f t="shared" si="15"/>
        <v>15</v>
      </c>
      <c r="Q27" s="209">
        <f t="shared" si="15"/>
        <v>15</v>
      </c>
      <c r="R27" s="209">
        <f t="shared" si="15"/>
        <v>15</v>
      </c>
      <c r="S27" s="209">
        <f t="shared" si="15"/>
        <v>15</v>
      </c>
      <c r="T27" s="209">
        <f t="shared" si="15"/>
        <v>15</v>
      </c>
      <c r="U27" s="254">
        <f t="shared" si="15"/>
        <v>15</v>
      </c>
      <c r="V27" s="209">
        <f t="shared" si="15"/>
        <v>15</v>
      </c>
      <c r="W27" s="209">
        <f t="shared" si="15"/>
        <v>15</v>
      </c>
      <c r="X27" s="209">
        <f t="shared" si="15"/>
        <v>15</v>
      </c>
      <c r="Y27" s="209">
        <f t="shared" si="15"/>
        <v>15</v>
      </c>
      <c r="Z27" s="255">
        <f t="shared" si="15"/>
        <v>15</v>
      </c>
      <c r="AA27" s="9"/>
      <c r="AB27" s="75" t="s">
        <v>138</v>
      </c>
      <c r="AY27" s="15"/>
      <c r="AZ27" s="15"/>
    </row>
    <row r="28" spans="1:52" x14ac:dyDescent="0.25">
      <c r="A28" s="413"/>
      <c r="B28" s="414"/>
      <c r="C28" s="4"/>
      <c r="D28" s="20"/>
      <c r="E28" s="26" t="s">
        <v>36</v>
      </c>
      <c r="F28" s="12" t="s">
        <v>6</v>
      </c>
      <c r="G28" s="39">
        <f t="shared" ref="G28:Z28" si="16">G26</f>
        <v>3600</v>
      </c>
      <c r="H28" s="2">
        <f t="shared" si="16"/>
        <v>7200</v>
      </c>
      <c r="I28" s="2">
        <f t="shared" si="16"/>
        <v>10800</v>
      </c>
      <c r="J28" s="2">
        <f t="shared" si="16"/>
        <v>14400</v>
      </c>
      <c r="K28" s="35">
        <f t="shared" si="16"/>
        <v>18000</v>
      </c>
      <c r="L28" s="2">
        <f t="shared" si="16"/>
        <v>21600</v>
      </c>
      <c r="M28" s="2">
        <f t="shared" si="16"/>
        <v>25200</v>
      </c>
      <c r="N28" s="2">
        <f t="shared" si="16"/>
        <v>28800</v>
      </c>
      <c r="O28" s="2">
        <f t="shared" si="16"/>
        <v>32400</v>
      </c>
      <c r="P28" s="35">
        <f t="shared" si="16"/>
        <v>36000</v>
      </c>
      <c r="Q28" s="2">
        <f t="shared" si="16"/>
        <v>39600</v>
      </c>
      <c r="R28" s="2">
        <f t="shared" si="16"/>
        <v>43200</v>
      </c>
      <c r="S28" s="2">
        <f t="shared" si="16"/>
        <v>46800</v>
      </c>
      <c r="T28" s="2">
        <f t="shared" si="16"/>
        <v>50400</v>
      </c>
      <c r="U28" s="35">
        <f t="shared" si="16"/>
        <v>54000</v>
      </c>
      <c r="V28" s="2">
        <f t="shared" si="16"/>
        <v>57600</v>
      </c>
      <c r="W28" s="2">
        <f t="shared" si="16"/>
        <v>61200</v>
      </c>
      <c r="X28" s="2">
        <f t="shared" si="16"/>
        <v>64800</v>
      </c>
      <c r="Y28" s="2">
        <f t="shared" si="16"/>
        <v>68400</v>
      </c>
      <c r="Z28" s="46">
        <f t="shared" si="16"/>
        <v>72000</v>
      </c>
      <c r="AA28" s="9"/>
      <c r="AB28" s="75" t="s">
        <v>139</v>
      </c>
      <c r="AY28" s="15"/>
      <c r="AZ28" s="15"/>
    </row>
    <row r="29" spans="1:52" x14ac:dyDescent="0.25">
      <c r="A29" s="413"/>
      <c r="B29" s="414"/>
      <c r="C29" s="4"/>
      <c r="D29" s="20"/>
      <c r="E29" s="11" t="s">
        <v>100</v>
      </c>
      <c r="F29" s="12" t="s">
        <v>15</v>
      </c>
      <c r="G29" s="39">
        <f>G28/G27</f>
        <v>240</v>
      </c>
      <c r="H29" s="2">
        <f t="shared" ref="H29:Z29" si="17">H28/H27</f>
        <v>480</v>
      </c>
      <c r="I29" s="2">
        <f t="shared" si="17"/>
        <v>720</v>
      </c>
      <c r="J29" s="2">
        <f t="shared" si="17"/>
        <v>960</v>
      </c>
      <c r="K29" s="35">
        <f t="shared" si="17"/>
        <v>1200</v>
      </c>
      <c r="L29" s="2">
        <f t="shared" si="17"/>
        <v>1440</v>
      </c>
      <c r="M29" s="2">
        <f t="shared" si="17"/>
        <v>1680</v>
      </c>
      <c r="N29" s="2">
        <f t="shared" si="17"/>
        <v>1920</v>
      </c>
      <c r="O29" s="2">
        <f t="shared" si="17"/>
        <v>2160</v>
      </c>
      <c r="P29" s="35">
        <f t="shared" si="17"/>
        <v>2400</v>
      </c>
      <c r="Q29" s="2">
        <f t="shared" si="17"/>
        <v>2640</v>
      </c>
      <c r="R29" s="2">
        <f t="shared" si="17"/>
        <v>2880</v>
      </c>
      <c r="S29" s="2">
        <f t="shared" si="17"/>
        <v>3120</v>
      </c>
      <c r="T29" s="2">
        <f t="shared" si="17"/>
        <v>3360</v>
      </c>
      <c r="U29" s="35">
        <f t="shared" si="17"/>
        <v>3600</v>
      </c>
      <c r="V29" s="2">
        <f t="shared" si="17"/>
        <v>3840</v>
      </c>
      <c r="W29" s="2">
        <f t="shared" si="17"/>
        <v>4080</v>
      </c>
      <c r="X29" s="2">
        <f t="shared" si="17"/>
        <v>4320</v>
      </c>
      <c r="Y29" s="2">
        <f t="shared" si="17"/>
        <v>4560</v>
      </c>
      <c r="Z29" s="46">
        <f t="shared" si="17"/>
        <v>4800</v>
      </c>
      <c r="AA29" s="9"/>
      <c r="AB29" s="75" t="s">
        <v>100</v>
      </c>
      <c r="AY29" s="15"/>
      <c r="AZ29" s="15"/>
    </row>
    <row r="30" spans="1:52" x14ac:dyDescent="0.25">
      <c r="A30" s="413"/>
      <c r="B30" s="414"/>
      <c r="C30" s="4"/>
      <c r="D30" s="20"/>
      <c r="E30" s="27" t="s">
        <v>103</v>
      </c>
      <c r="F30" s="31" t="s">
        <v>13</v>
      </c>
      <c r="G30" s="183">
        <f t="shared" ref="G30:Z30" si="18">G29*100/G13</f>
        <v>2.9791705198945411</v>
      </c>
      <c r="H30" s="32">
        <f t="shared" si="18"/>
        <v>3.4745273948265591</v>
      </c>
      <c r="I30" s="32">
        <f t="shared" si="18"/>
        <v>3.8564638410842456</v>
      </c>
      <c r="J30" s="32">
        <f t="shared" si="18"/>
        <v>4.1523186407424388</v>
      </c>
      <c r="K30" s="42">
        <f t="shared" si="18"/>
        <v>4.4431132644910321</v>
      </c>
      <c r="L30" s="32">
        <f t="shared" si="18"/>
        <v>5.0340893328831449</v>
      </c>
      <c r="M30" s="32">
        <f t="shared" si="18"/>
        <v>5.4667122980354073</v>
      </c>
      <c r="N30" s="32">
        <f t="shared" si="18"/>
        <v>5.8719522361585454</v>
      </c>
      <c r="O30" s="32">
        <f t="shared" si="18"/>
        <v>6.3301073829195662</v>
      </c>
      <c r="P30" s="42">
        <f t="shared" si="18"/>
        <v>7.0479382036811797</v>
      </c>
      <c r="Q30" s="32">
        <f t="shared" si="18"/>
        <v>8.0104781592741592</v>
      </c>
      <c r="R30" s="32">
        <f t="shared" si="18"/>
        <v>9.1951136899064263</v>
      </c>
      <c r="S30" s="32">
        <f t="shared" si="18"/>
        <v>10.13412318497355</v>
      </c>
      <c r="T30" s="32">
        <f t="shared" si="18"/>
        <v>11.146116226390461</v>
      </c>
      <c r="U30" s="42">
        <f t="shared" si="18"/>
        <v>12.245976875316941</v>
      </c>
      <c r="V30" s="32">
        <f t="shared" si="18"/>
        <v>13.451883825668515</v>
      </c>
      <c r="W30" s="32">
        <f t="shared" si="18"/>
        <v>16.625706160994788</v>
      </c>
      <c r="X30" s="32">
        <f t="shared" si="18"/>
        <v>20.017035580018156</v>
      </c>
      <c r="Y30" s="32">
        <f t="shared" si="18"/>
        <v>23.116233446328785</v>
      </c>
      <c r="Z30" s="86">
        <f t="shared" si="18"/>
        <v>26.012200844747674</v>
      </c>
      <c r="AA30" s="9"/>
      <c r="AB30" s="75" t="s">
        <v>140</v>
      </c>
      <c r="AY30" s="15"/>
      <c r="AZ30" s="15"/>
    </row>
    <row r="31" spans="1:52" x14ac:dyDescent="0.25">
      <c r="A31" s="413"/>
      <c r="B31" s="414"/>
      <c r="C31" s="4"/>
      <c r="D31" s="20"/>
      <c r="E31" s="417" t="s">
        <v>102</v>
      </c>
      <c r="F31" s="418"/>
      <c r="G31" s="418"/>
      <c r="H31" s="418"/>
      <c r="I31" s="418"/>
      <c r="J31" s="418"/>
      <c r="K31" s="418"/>
      <c r="L31" s="418"/>
      <c r="M31" s="418"/>
      <c r="N31" s="418"/>
      <c r="O31" s="418"/>
      <c r="P31" s="418"/>
      <c r="Q31" s="418"/>
      <c r="R31" s="418"/>
      <c r="S31" s="418"/>
      <c r="T31" s="418"/>
      <c r="U31" s="418"/>
      <c r="V31" s="418"/>
      <c r="W31" s="418"/>
      <c r="X31" s="418"/>
      <c r="Y31" s="418"/>
      <c r="Z31" s="419"/>
      <c r="AA31" s="9"/>
      <c r="AY31" s="15"/>
      <c r="AZ31" s="15"/>
    </row>
    <row r="32" spans="1:52" x14ac:dyDescent="0.25">
      <c r="A32" s="413"/>
      <c r="B32" s="414"/>
      <c r="C32" s="4">
        <v>0.55000000000000004</v>
      </c>
      <c r="D32" s="20" t="s">
        <v>13</v>
      </c>
      <c r="E32" s="11" t="s">
        <v>5</v>
      </c>
      <c r="F32" s="12" t="s">
        <v>15</v>
      </c>
      <c r="G32" s="39">
        <f>$C$32/100/G5*G13</f>
        <v>184.61514583578432</v>
      </c>
      <c r="H32" s="2">
        <f t="shared" ref="H32:Z32" si="19">$C$32/100*H14</f>
        <v>313.32600670681336</v>
      </c>
      <c r="I32" s="2">
        <f t="shared" si="19"/>
        <v>418.4464426801452</v>
      </c>
      <c r="J32" s="2">
        <f t="shared" si="19"/>
        <v>502.323879179752</v>
      </c>
      <c r="K32" s="2">
        <f t="shared" si="19"/>
        <v>572.83671298248271</v>
      </c>
      <c r="L32" s="2">
        <f t="shared" si="19"/>
        <v>594.8767314872008</v>
      </c>
      <c r="M32" s="2">
        <f t="shared" si="19"/>
        <v>628.5476657503192</v>
      </c>
      <c r="N32" s="2">
        <f t="shared" si="19"/>
        <v>659.19019479789165</v>
      </c>
      <c r="O32" s="2">
        <f t="shared" si="19"/>
        <v>679.21962499868482</v>
      </c>
      <c r="P32" s="2">
        <f t="shared" si="19"/>
        <v>670.15443665775831</v>
      </c>
      <c r="Q32" s="2">
        <f t="shared" si="19"/>
        <v>627.33187574123042</v>
      </c>
      <c r="R32" s="2">
        <f t="shared" si="19"/>
        <v>590.86392359827823</v>
      </c>
      <c r="S32" s="2">
        <f t="shared" si="19"/>
        <v>576.01402140931611</v>
      </c>
      <c r="T32" s="2">
        <f t="shared" si="19"/>
        <v>559.70461895500739</v>
      </c>
      <c r="U32" s="2">
        <f t="shared" si="19"/>
        <v>541.95102500355551</v>
      </c>
      <c r="V32" s="2">
        <f t="shared" si="19"/>
        <v>522.76503038279998</v>
      </c>
      <c r="W32" s="2">
        <f t="shared" si="19"/>
        <v>446.60268318041642</v>
      </c>
      <c r="X32" s="2">
        <f t="shared" si="19"/>
        <v>390.44822904782671</v>
      </c>
      <c r="Y32" s="2">
        <f t="shared" si="19"/>
        <v>354.89836089718187</v>
      </c>
      <c r="Z32" s="89">
        <f t="shared" si="19"/>
        <v>330.23373567187764</v>
      </c>
      <c r="AA32" s="28"/>
      <c r="AB32" s="75" t="s">
        <v>141</v>
      </c>
      <c r="AY32" s="15"/>
      <c r="AZ32" s="15"/>
    </row>
    <row r="33" spans="1:65" x14ac:dyDescent="0.25">
      <c r="A33" s="413"/>
      <c r="B33" s="414"/>
      <c r="C33" s="4"/>
      <c r="D33" s="20"/>
      <c r="E33" s="11" t="s">
        <v>104</v>
      </c>
      <c r="F33" s="31" t="s">
        <v>13</v>
      </c>
      <c r="G33" s="42">
        <f t="shared" ref="G33:Z33" si="20">G32*100/G13</f>
        <v>2.291666666666667</v>
      </c>
      <c r="H33" s="88">
        <f t="shared" si="20"/>
        <v>2.2680412371134024</v>
      </c>
      <c r="I33" s="88">
        <f t="shared" si="20"/>
        <v>2.2412827439254324</v>
      </c>
      <c r="J33" s="88">
        <f t="shared" si="20"/>
        <v>2.1727175075084757</v>
      </c>
      <c r="K33" s="88">
        <f t="shared" si="20"/>
        <v>2.1209819981999258</v>
      </c>
      <c r="L33" s="88">
        <f t="shared" si="20"/>
        <v>2.0796268113611864</v>
      </c>
      <c r="M33" s="88">
        <f t="shared" si="20"/>
        <v>2.0452912227730469</v>
      </c>
      <c r="N33" s="88">
        <f t="shared" si="20"/>
        <v>2.0160069470819098</v>
      </c>
      <c r="O33" s="88">
        <f t="shared" si="20"/>
        <v>1.9905246124203864</v>
      </c>
      <c r="P33" s="88">
        <f t="shared" si="20"/>
        <v>1.9680029402027726</v>
      </c>
      <c r="Q33" s="88">
        <f t="shared" si="20"/>
        <v>1.9034955641066731</v>
      </c>
      <c r="R33" s="88">
        <f t="shared" si="20"/>
        <v>1.8864794974827612</v>
      </c>
      <c r="S33" s="88">
        <f t="shared" si="20"/>
        <v>1.8709605927032056</v>
      </c>
      <c r="T33" s="88">
        <f t="shared" si="20"/>
        <v>1.8567061712262196</v>
      </c>
      <c r="U33" s="88">
        <f t="shared" si="20"/>
        <v>1.8435332554855153</v>
      </c>
      <c r="V33" s="88">
        <f t="shared" si="20"/>
        <v>1.8312954314665357</v>
      </c>
      <c r="W33" s="88">
        <f t="shared" si="20"/>
        <v>1.8198737699189838</v>
      </c>
      <c r="X33" s="88">
        <f t="shared" si="20"/>
        <v>1.809170391899404</v>
      </c>
      <c r="Y33" s="88">
        <f t="shared" si="20"/>
        <v>1.7991038070655041</v>
      </c>
      <c r="Z33" s="91">
        <f t="shared" si="20"/>
        <v>1.7896054704183741</v>
      </c>
      <c r="AA33" s="28"/>
      <c r="AB33" s="75" t="s">
        <v>142</v>
      </c>
      <c r="AY33" s="15"/>
      <c r="AZ33" s="15"/>
    </row>
    <row r="34" spans="1:65" x14ac:dyDescent="0.25">
      <c r="A34" s="413"/>
      <c r="B34" s="414"/>
      <c r="C34" s="4"/>
      <c r="D34" s="20"/>
      <c r="E34" s="417" t="s">
        <v>106</v>
      </c>
      <c r="F34" s="418"/>
      <c r="G34" s="418"/>
      <c r="H34" s="418"/>
      <c r="I34" s="418"/>
      <c r="J34" s="418"/>
      <c r="K34" s="418"/>
      <c r="L34" s="418"/>
      <c r="M34" s="418"/>
      <c r="N34" s="418"/>
      <c r="O34" s="418"/>
      <c r="P34" s="418"/>
      <c r="Q34" s="418"/>
      <c r="R34" s="418"/>
      <c r="S34" s="418"/>
      <c r="T34" s="418"/>
      <c r="U34" s="418"/>
      <c r="V34" s="418"/>
      <c r="W34" s="418"/>
      <c r="X34" s="418"/>
      <c r="Y34" s="418"/>
      <c r="Z34" s="419"/>
      <c r="AA34" s="28"/>
      <c r="AY34" s="15"/>
      <c r="AZ34" s="15"/>
    </row>
    <row r="35" spans="1:65" x14ac:dyDescent="0.25">
      <c r="A35" s="413"/>
      <c r="B35" s="414"/>
      <c r="C35" s="5">
        <f>Eingabemaske!B21*100/1000</f>
        <v>2.835</v>
      </c>
      <c r="D35" s="20" t="s">
        <v>13</v>
      </c>
      <c r="E35" s="13" t="s">
        <v>105</v>
      </c>
      <c r="F35" s="12" t="s">
        <v>13</v>
      </c>
      <c r="G35" s="42">
        <f t="shared" ref="G35:Z35" si="21">$C$35</f>
        <v>2.835</v>
      </c>
      <c r="H35" s="42">
        <f t="shared" si="21"/>
        <v>2.835</v>
      </c>
      <c r="I35" s="42">
        <f t="shared" si="21"/>
        <v>2.835</v>
      </c>
      <c r="J35" s="42">
        <f t="shared" si="21"/>
        <v>2.835</v>
      </c>
      <c r="K35" s="42">
        <f t="shared" si="21"/>
        <v>2.835</v>
      </c>
      <c r="L35" s="42">
        <f t="shared" si="21"/>
        <v>2.835</v>
      </c>
      <c r="M35" s="42">
        <f t="shared" si="21"/>
        <v>2.835</v>
      </c>
      <c r="N35" s="42">
        <f t="shared" si="21"/>
        <v>2.835</v>
      </c>
      <c r="O35" s="42">
        <f t="shared" si="21"/>
        <v>2.835</v>
      </c>
      <c r="P35" s="42">
        <f t="shared" si="21"/>
        <v>2.835</v>
      </c>
      <c r="Q35" s="42">
        <f t="shared" si="21"/>
        <v>2.835</v>
      </c>
      <c r="R35" s="42">
        <f t="shared" si="21"/>
        <v>2.835</v>
      </c>
      <c r="S35" s="42">
        <f t="shared" si="21"/>
        <v>2.835</v>
      </c>
      <c r="T35" s="42">
        <f t="shared" si="21"/>
        <v>2.835</v>
      </c>
      <c r="U35" s="42">
        <f t="shared" si="21"/>
        <v>2.835</v>
      </c>
      <c r="V35" s="42">
        <f t="shared" si="21"/>
        <v>2.835</v>
      </c>
      <c r="W35" s="42">
        <f t="shared" si="21"/>
        <v>2.835</v>
      </c>
      <c r="X35" s="42">
        <f t="shared" si="21"/>
        <v>2.835</v>
      </c>
      <c r="Y35" s="42">
        <f t="shared" si="21"/>
        <v>2.835</v>
      </c>
      <c r="Z35" s="86">
        <f t="shared" si="21"/>
        <v>2.835</v>
      </c>
      <c r="AA35" s="28"/>
      <c r="AB35" s="75" t="s">
        <v>143</v>
      </c>
      <c r="AY35" s="15"/>
      <c r="AZ35" s="15"/>
    </row>
    <row r="36" spans="1:65" x14ac:dyDescent="0.25">
      <c r="A36" s="413"/>
      <c r="B36" s="414"/>
      <c r="C36" s="4"/>
      <c r="D36" s="20"/>
      <c r="E36" s="90" t="s">
        <v>109</v>
      </c>
      <c r="F36" s="12" t="s">
        <v>25</v>
      </c>
      <c r="G36" s="35">
        <f t="shared" ref="G36:Z36" si="22">G13*G16</f>
        <v>4027.9668182352939</v>
      </c>
      <c r="H36" s="2">
        <f t="shared" si="22"/>
        <v>6907.4142387638385</v>
      </c>
      <c r="I36" s="2">
        <f t="shared" si="22"/>
        <v>9334.9766738325216</v>
      </c>
      <c r="J36" s="2">
        <f t="shared" si="22"/>
        <v>11559.806496790803</v>
      </c>
      <c r="K36" s="2">
        <f t="shared" si="22"/>
        <v>13504.044670549971</v>
      </c>
      <c r="L36" s="2">
        <f t="shared" si="22"/>
        <v>14302.487548182595</v>
      </c>
      <c r="M36" s="2">
        <f t="shared" si="22"/>
        <v>15365.725397728977</v>
      </c>
      <c r="N36" s="2">
        <f t="shared" si="22"/>
        <v>16348.906826735973</v>
      </c>
      <c r="O36" s="2">
        <f t="shared" si="22"/>
        <v>17061.321943987045</v>
      </c>
      <c r="P36" s="2">
        <f t="shared" si="22"/>
        <v>17026.255981830727</v>
      </c>
      <c r="Q36" s="2">
        <f t="shared" si="22"/>
        <v>16478.417065175632</v>
      </c>
      <c r="R36" s="2">
        <f t="shared" si="22"/>
        <v>15660.49152367418</v>
      </c>
      <c r="S36" s="2">
        <f t="shared" si="22"/>
        <v>15393.536979233706</v>
      </c>
      <c r="T36" s="2">
        <f t="shared" si="22"/>
        <v>15072.51463987334</v>
      </c>
      <c r="U36" s="2">
        <f t="shared" si="22"/>
        <v>14698.704875297371</v>
      </c>
      <c r="V36" s="2">
        <f t="shared" si="22"/>
        <v>14273.093827470533</v>
      </c>
      <c r="W36" s="2">
        <f t="shared" si="22"/>
        <v>12270.155506453013</v>
      </c>
      <c r="X36" s="2">
        <f t="shared" si="22"/>
        <v>10790.80861581823</v>
      </c>
      <c r="Y36" s="2">
        <f t="shared" si="22"/>
        <v>9863.1985409461213</v>
      </c>
      <c r="Z36" s="89">
        <f t="shared" si="22"/>
        <v>9226.4396016479423</v>
      </c>
      <c r="AA36" s="28"/>
      <c r="AY36" s="15"/>
      <c r="AZ36" s="15"/>
    </row>
    <row r="37" spans="1:65" x14ac:dyDescent="0.25">
      <c r="A37" s="413"/>
      <c r="B37" s="414"/>
      <c r="C37" s="4"/>
      <c r="D37" s="20"/>
      <c r="E37" s="93" t="s">
        <v>110</v>
      </c>
      <c r="F37" s="12" t="s">
        <v>15</v>
      </c>
      <c r="G37" s="35">
        <f t="shared" ref="G37:Z37" si="23">G35/100*G36</f>
        <v>114.19285929697058</v>
      </c>
      <c r="H37" s="2">
        <f t="shared" si="23"/>
        <v>195.82519366895482</v>
      </c>
      <c r="I37" s="2">
        <f t="shared" si="23"/>
        <v>264.64658870315196</v>
      </c>
      <c r="J37" s="2">
        <f t="shared" si="23"/>
        <v>327.72051418401929</v>
      </c>
      <c r="K37" s="2">
        <f t="shared" si="23"/>
        <v>382.8396664100917</v>
      </c>
      <c r="L37" s="2">
        <f t="shared" si="23"/>
        <v>405.47552199097657</v>
      </c>
      <c r="M37" s="2">
        <f t="shared" si="23"/>
        <v>435.61831502561648</v>
      </c>
      <c r="N37" s="2">
        <f t="shared" si="23"/>
        <v>463.49150853796482</v>
      </c>
      <c r="O37" s="2">
        <f t="shared" si="23"/>
        <v>483.68847711203273</v>
      </c>
      <c r="P37" s="2">
        <f t="shared" si="23"/>
        <v>482.69435708490113</v>
      </c>
      <c r="Q37" s="2">
        <f t="shared" si="23"/>
        <v>467.16312379772916</v>
      </c>
      <c r="R37" s="2">
        <f t="shared" si="23"/>
        <v>443.97493469616302</v>
      </c>
      <c r="S37" s="2">
        <f t="shared" si="23"/>
        <v>436.40677336127555</v>
      </c>
      <c r="T37" s="2">
        <f t="shared" si="23"/>
        <v>427.30579004040919</v>
      </c>
      <c r="U37" s="2">
        <f t="shared" si="23"/>
        <v>416.70828321468048</v>
      </c>
      <c r="V37" s="2">
        <f t="shared" si="23"/>
        <v>404.64221000878962</v>
      </c>
      <c r="W37" s="2">
        <f t="shared" si="23"/>
        <v>347.85890860794291</v>
      </c>
      <c r="X37" s="2">
        <f t="shared" si="23"/>
        <v>305.91942425844684</v>
      </c>
      <c r="Y37" s="2">
        <f t="shared" si="23"/>
        <v>279.62167863582255</v>
      </c>
      <c r="Z37" s="89">
        <f t="shared" si="23"/>
        <v>261.56956270671918</v>
      </c>
      <c r="AA37" s="28"/>
      <c r="AY37" s="15"/>
      <c r="AZ37" s="15"/>
    </row>
    <row r="38" spans="1:65" x14ac:dyDescent="0.25">
      <c r="A38" s="413"/>
      <c r="B38" s="414"/>
      <c r="C38" s="4"/>
      <c r="D38" s="20"/>
      <c r="E38" s="90" t="s">
        <v>111</v>
      </c>
      <c r="F38" s="12" t="s">
        <v>13</v>
      </c>
      <c r="G38" s="42">
        <f t="shared" ref="G38:Z38" si="24">G37*100/G13</f>
        <v>1.4175</v>
      </c>
      <c r="H38" s="32">
        <f t="shared" si="24"/>
        <v>1.4175</v>
      </c>
      <c r="I38" s="32">
        <f t="shared" si="24"/>
        <v>1.4175</v>
      </c>
      <c r="J38" s="32">
        <f t="shared" si="24"/>
        <v>1.4175</v>
      </c>
      <c r="K38" s="32">
        <f t="shared" si="24"/>
        <v>1.4175</v>
      </c>
      <c r="L38" s="32">
        <f t="shared" si="24"/>
        <v>1.4175</v>
      </c>
      <c r="M38" s="32">
        <f t="shared" si="24"/>
        <v>1.4175</v>
      </c>
      <c r="N38" s="32">
        <f t="shared" si="24"/>
        <v>1.4175</v>
      </c>
      <c r="O38" s="32">
        <f t="shared" si="24"/>
        <v>1.4175</v>
      </c>
      <c r="P38" s="32">
        <f t="shared" si="24"/>
        <v>1.4175</v>
      </c>
      <c r="Q38" s="32">
        <f t="shared" si="24"/>
        <v>1.4175</v>
      </c>
      <c r="R38" s="32">
        <f t="shared" si="24"/>
        <v>1.4175000000000002</v>
      </c>
      <c r="S38" s="32">
        <f t="shared" si="24"/>
        <v>1.4175</v>
      </c>
      <c r="T38" s="32">
        <f t="shared" si="24"/>
        <v>1.4175</v>
      </c>
      <c r="U38" s="32">
        <f t="shared" si="24"/>
        <v>1.4175</v>
      </c>
      <c r="V38" s="32">
        <f t="shared" si="24"/>
        <v>1.4175</v>
      </c>
      <c r="W38" s="32">
        <f t="shared" si="24"/>
        <v>1.4175</v>
      </c>
      <c r="X38" s="32">
        <f t="shared" si="24"/>
        <v>1.4175</v>
      </c>
      <c r="Y38" s="32">
        <f t="shared" si="24"/>
        <v>1.4175</v>
      </c>
      <c r="Z38" s="91">
        <f t="shared" si="24"/>
        <v>1.4175000000000002</v>
      </c>
      <c r="AA38" s="28"/>
      <c r="AB38" s="75" t="s">
        <v>144</v>
      </c>
      <c r="AY38" s="15"/>
      <c r="AZ38" s="15"/>
    </row>
    <row r="39" spans="1:65" x14ac:dyDescent="0.25">
      <c r="A39" s="413"/>
      <c r="B39" s="414"/>
      <c r="C39" s="4"/>
      <c r="D39" s="20"/>
      <c r="E39" s="417" t="s">
        <v>112</v>
      </c>
      <c r="F39" s="418"/>
      <c r="G39" s="418"/>
      <c r="H39" s="418"/>
      <c r="I39" s="418"/>
      <c r="J39" s="418"/>
      <c r="K39" s="418"/>
      <c r="L39" s="418"/>
      <c r="M39" s="418"/>
      <c r="N39" s="418"/>
      <c r="O39" s="418"/>
      <c r="P39" s="418"/>
      <c r="Q39" s="418"/>
      <c r="R39" s="418"/>
      <c r="S39" s="418"/>
      <c r="T39" s="418"/>
      <c r="U39" s="418"/>
      <c r="V39" s="418"/>
      <c r="W39" s="418"/>
      <c r="X39" s="418"/>
      <c r="Y39" s="418"/>
      <c r="Z39" s="419"/>
      <c r="AA39" s="28"/>
      <c r="AY39" s="15"/>
      <c r="AZ39" s="15"/>
    </row>
    <row r="40" spans="1:65" x14ac:dyDescent="0.25">
      <c r="A40" s="413"/>
      <c r="B40" s="414"/>
      <c r="C40" s="5">
        <f>Eingabemaske!B17</f>
        <v>29</v>
      </c>
      <c r="D40" s="20" t="s">
        <v>13</v>
      </c>
      <c r="E40" s="13" t="s">
        <v>18</v>
      </c>
      <c r="F40" s="12" t="s">
        <v>13</v>
      </c>
      <c r="G40" s="42">
        <f t="shared" ref="G40:Z40" si="25">$C$40</f>
        <v>29</v>
      </c>
      <c r="H40" s="42">
        <f t="shared" si="25"/>
        <v>29</v>
      </c>
      <c r="I40" s="42">
        <f t="shared" si="25"/>
        <v>29</v>
      </c>
      <c r="J40" s="42">
        <f t="shared" si="25"/>
        <v>29</v>
      </c>
      <c r="K40" s="42">
        <f t="shared" si="25"/>
        <v>29</v>
      </c>
      <c r="L40" s="42">
        <f t="shared" si="25"/>
        <v>29</v>
      </c>
      <c r="M40" s="42">
        <f t="shared" si="25"/>
        <v>29</v>
      </c>
      <c r="N40" s="42">
        <f t="shared" si="25"/>
        <v>29</v>
      </c>
      <c r="O40" s="42">
        <f t="shared" si="25"/>
        <v>29</v>
      </c>
      <c r="P40" s="42">
        <f t="shared" si="25"/>
        <v>29</v>
      </c>
      <c r="Q40" s="42">
        <f t="shared" si="25"/>
        <v>29</v>
      </c>
      <c r="R40" s="42">
        <f t="shared" si="25"/>
        <v>29</v>
      </c>
      <c r="S40" s="42">
        <f t="shared" si="25"/>
        <v>29</v>
      </c>
      <c r="T40" s="42">
        <f t="shared" si="25"/>
        <v>29</v>
      </c>
      <c r="U40" s="42">
        <f t="shared" si="25"/>
        <v>29</v>
      </c>
      <c r="V40" s="42">
        <f t="shared" si="25"/>
        <v>29</v>
      </c>
      <c r="W40" s="42">
        <f t="shared" si="25"/>
        <v>29</v>
      </c>
      <c r="X40" s="42">
        <f t="shared" si="25"/>
        <v>29</v>
      </c>
      <c r="Y40" s="42">
        <f t="shared" si="25"/>
        <v>29</v>
      </c>
      <c r="Z40" s="86">
        <f t="shared" si="25"/>
        <v>29</v>
      </c>
      <c r="AA40" s="28"/>
      <c r="AB40" s="75" t="s">
        <v>145</v>
      </c>
      <c r="AY40" s="15"/>
      <c r="AZ40" s="15"/>
    </row>
    <row r="41" spans="1:65" x14ac:dyDescent="0.25">
      <c r="A41" s="413"/>
      <c r="B41" s="414"/>
      <c r="C41" s="4"/>
      <c r="D41" s="20"/>
      <c r="E41" s="9" t="s">
        <v>113</v>
      </c>
      <c r="F41" s="12" t="s">
        <v>25</v>
      </c>
      <c r="G41" s="35">
        <f t="shared" ref="G41:Z41" si="26">G13*G15</f>
        <v>4027.9668182352939</v>
      </c>
      <c r="H41" s="2">
        <f t="shared" si="26"/>
        <v>6907.4142387638385</v>
      </c>
      <c r="I41" s="2">
        <f t="shared" si="26"/>
        <v>9334.9766738325216</v>
      </c>
      <c r="J41" s="2">
        <f t="shared" si="26"/>
        <v>11559.806496790803</v>
      </c>
      <c r="K41" s="2">
        <f t="shared" si="26"/>
        <v>13504.044670549971</v>
      </c>
      <c r="L41" s="2">
        <f t="shared" si="26"/>
        <v>14302.487548182595</v>
      </c>
      <c r="M41" s="2">
        <f t="shared" si="26"/>
        <v>15365.725397728977</v>
      </c>
      <c r="N41" s="2">
        <f t="shared" si="26"/>
        <v>16348.906826735973</v>
      </c>
      <c r="O41" s="2">
        <f t="shared" si="26"/>
        <v>17061.321943987045</v>
      </c>
      <c r="P41" s="2">
        <f t="shared" si="26"/>
        <v>17026.255981830727</v>
      </c>
      <c r="Q41" s="2">
        <f t="shared" si="26"/>
        <v>16478.417065175632</v>
      </c>
      <c r="R41" s="2">
        <f t="shared" si="26"/>
        <v>15660.49152367418</v>
      </c>
      <c r="S41" s="2">
        <f t="shared" si="26"/>
        <v>15393.536979233706</v>
      </c>
      <c r="T41" s="2">
        <f t="shared" si="26"/>
        <v>15072.51463987334</v>
      </c>
      <c r="U41" s="2">
        <f t="shared" si="26"/>
        <v>14698.704875297371</v>
      </c>
      <c r="V41" s="2">
        <f t="shared" si="26"/>
        <v>14273.093827470533</v>
      </c>
      <c r="W41" s="2">
        <f t="shared" si="26"/>
        <v>12270.155506453013</v>
      </c>
      <c r="X41" s="2">
        <f t="shared" si="26"/>
        <v>10790.80861581823</v>
      </c>
      <c r="Y41" s="2">
        <f t="shared" si="26"/>
        <v>9863.1985409461213</v>
      </c>
      <c r="Z41" s="89">
        <f t="shared" si="26"/>
        <v>9226.4396016479423</v>
      </c>
      <c r="AA41" s="28"/>
      <c r="AY41" s="15"/>
      <c r="AZ41" s="15"/>
    </row>
    <row r="42" spans="1:65" x14ac:dyDescent="0.25">
      <c r="A42" s="413"/>
      <c r="B42" s="414"/>
      <c r="C42" s="4"/>
      <c r="D42" s="20"/>
      <c r="E42" s="9" t="s">
        <v>114</v>
      </c>
      <c r="F42" s="12" t="s">
        <v>15</v>
      </c>
      <c r="G42" s="35">
        <f t="shared" ref="G42:Z42" si="27">G40/100*G41</f>
        <v>1168.1103772882352</v>
      </c>
      <c r="H42" s="2">
        <f t="shared" si="27"/>
        <v>2003.150129241513</v>
      </c>
      <c r="I42" s="2">
        <f t="shared" si="27"/>
        <v>2707.1432354114309</v>
      </c>
      <c r="J42" s="2">
        <f t="shared" si="27"/>
        <v>3352.3438840693325</v>
      </c>
      <c r="K42" s="2">
        <f t="shared" si="27"/>
        <v>3916.1729544594914</v>
      </c>
      <c r="L42" s="2">
        <f t="shared" si="27"/>
        <v>4147.7213889729519</v>
      </c>
      <c r="M42" s="2">
        <f t="shared" si="27"/>
        <v>4456.0603653414028</v>
      </c>
      <c r="N42" s="2">
        <f t="shared" si="27"/>
        <v>4741.1829797534319</v>
      </c>
      <c r="O42" s="2">
        <f t="shared" si="27"/>
        <v>4947.7833637562426</v>
      </c>
      <c r="P42" s="2">
        <f t="shared" si="27"/>
        <v>4937.6142347309105</v>
      </c>
      <c r="Q42" s="2">
        <f t="shared" si="27"/>
        <v>4778.7409489009333</v>
      </c>
      <c r="R42" s="2">
        <f t="shared" si="27"/>
        <v>4541.5425418655122</v>
      </c>
      <c r="S42" s="2">
        <f t="shared" si="27"/>
        <v>4464.1257239777742</v>
      </c>
      <c r="T42" s="2">
        <f t="shared" si="27"/>
        <v>4371.029245563268</v>
      </c>
      <c r="U42" s="2">
        <f t="shared" si="27"/>
        <v>4262.6244138362372</v>
      </c>
      <c r="V42" s="2">
        <f t="shared" si="27"/>
        <v>4139.1972099664545</v>
      </c>
      <c r="W42" s="2">
        <f t="shared" si="27"/>
        <v>3558.3450968713737</v>
      </c>
      <c r="X42" s="2">
        <f t="shared" si="27"/>
        <v>3129.3344985872868</v>
      </c>
      <c r="Y42" s="2">
        <f t="shared" si="27"/>
        <v>2860.3275768743752</v>
      </c>
      <c r="Z42" s="89">
        <f t="shared" si="27"/>
        <v>2675.6674844779031</v>
      </c>
      <c r="AA42" s="28"/>
      <c r="AY42" s="15"/>
      <c r="AZ42" s="15"/>
    </row>
    <row r="43" spans="1:65" x14ac:dyDescent="0.25">
      <c r="A43" s="413"/>
      <c r="B43" s="414"/>
      <c r="C43" s="4"/>
      <c r="D43" s="20"/>
      <c r="E43" s="90" t="s">
        <v>115</v>
      </c>
      <c r="F43" s="12" t="s">
        <v>13</v>
      </c>
      <c r="G43" s="42">
        <f t="shared" ref="G43:Z43" si="28">G42*100/G13</f>
        <v>14.5</v>
      </c>
      <c r="H43" s="32">
        <f t="shared" si="28"/>
        <v>14.499999999999998</v>
      </c>
      <c r="I43" s="32">
        <f t="shared" si="28"/>
        <v>14.499999999999998</v>
      </c>
      <c r="J43" s="32">
        <f t="shared" si="28"/>
        <v>14.499999999999996</v>
      </c>
      <c r="K43" s="32">
        <f t="shared" si="28"/>
        <v>14.5</v>
      </c>
      <c r="L43" s="32">
        <f t="shared" si="28"/>
        <v>14.499999999999996</v>
      </c>
      <c r="M43" s="32">
        <f t="shared" si="28"/>
        <v>14.5</v>
      </c>
      <c r="N43" s="32">
        <f t="shared" si="28"/>
        <v>14.5</v>
      </c>
      <c r="O43" s="32">
        <f t="shared" si="28"/>
        <v>14.499999999999998</v>
      </c>
      <c r="P43" s="32">
        <f t="shared" si="28"/>
        <v>14.499999999999998</v>
      </c>
      <c r="Q43" s="32">
        <f t="shared" si="28"/>
        <v>14.5</v>
      </c>
      <c r="R43" s="32">
        <f t="shared" si="28"/>
        <v>14.5</v>
      </c>
      <c r="S43" s="32">
        <f t="shared" si="28"/>
        <v>14.499999999999998</v>
      </c>
      <c r="T43" s="32">
        <f t="shared" si="28"/>
        <v>14.499999999999998</v>
      </c>
      <c r="U43" s="32">
        <f t="shared" si="28"/>
        <v>14.499999999999996</v>
      </c>
      <c r="V43" s="32">
        <f t="shared" si="28"/>
        <v>14.5</v>
      </c>
      <c r="W43" s="32">
        <f t="shared" si="28"/>
        <v>14.5</v>
      </c>
      <c r="X43" s="32">
        <f t="shared" si="28"/>
        <v>14.5</v>
      </c>
      <c r="Y43" s="32">
        <f t="shared" si="28"/>
        <v>14.5</v>
      </c>
      <c r="Z43" s="122">
        <f t="shared" si="28"/>
        <v>14.5</v>
      </c>
      <c r="AA43" s="28"/>
      <c r="AB43" s="75" t="s">
        <v>146</v>
      </c>
      <c r="AY43" s="15"/>
      <c r="AZ43" s="15"/>
    </row>
    <row r="44" spans="1:65" ht="15" customHeight="1" x14ac:dyDescent="0.25">
      <c r="A44" s="413"/>
      <c r="B44" s="414"/>
      <c r="C44" s="4"/>
      <c r="D44" s="20"/>
      <c r="E44" s="417" t="s">
        <v>14</v>
      </c>
      <c r="F44" s="418"/>
      <c r="G44" s="418"/>
      <c r="H44" s="418"/>
      <c r="I44" s="418"/>
      <c r="J44" s="418"/>
      <c r="K44" s="418"/>
      <c r="L44" s="418"/>
      <c r="M44" s="418"/>
      <c r="N44" s="418"/>
      <c r="O44" s="418"/>
      <c r="P44" s="418"/>
      <c r="Q44" s="418"/>
      <c r="R44" s="418"/>
      <c r="S44" s="418"/>
      <c r="T44" s="418"/>
      <c r="U44" s="418"/>
      <c r="V44" s="418"/>
      <c r="W44" s="418"/>
      <c r="X44" s="418"/>
      <c r="Y44" s="418"/>
      <c r="Z44" s="419"/>
      <c r="AA44" s="28"/>
    </row>
    <row r="45" spans="1:65" ht="15" customHeight="1" x14ac:dyDescent="0.25">
      <c r="A45" s="413"/>
      <c r="B45" s="414"/>
      <c r="C45" s="118">
        <f>Eingabemaske!B19</f>
        <v>1</v>
      </c>
      <c r="D45" s="20" t="s">
        <v>13</v>
      </c>
      <c r="E45" s="11" t="s">
        <v>128</v>
      </c>
      <c r="F45" s="12" t="s">
        <v>15</v>
      </c>
      <c r="G45" s="35">
        <f t="shared" ref="G45:Z45" si="29">+$C$45*G13*G16/100</f>
        <v>40.279668182352935</v>
      </c>
      <c r="H45" s="2">
        <f t="shared" si="29"/>
        <v>69.074142387638389</v>
      </c>
      <c r="I45" s="2">
        <f t="shared" si="29"/>
        <v>93.349766738325215</v>
      </c>
      <c r="J45" s="2">
        <f t="shared" si="29"/>
        <v>115.59806496790803</v>
      </c>
      <c r="K45" s="35">
        <f t="shared" si="29"/>
        <v>135.0404467054997</v>
      </c>
      <c r="L45" s="2">
        <f t="shared" si="29"/>
        <v>143.02487548182594</v>
      </c>
      <c r="M45" s="2">
        <f t="shared" si="29"/>
        <v>153.65725397728977</v>
      </c>
      <c r="N45" s="2">
        <f t="shared" si="29"/>
        <v>163.48906826735973</v>
      </c>
      <c r="O45" s="2">
        <f t="shared" si="29"/>
        <v>170.61321943987045</v>
      </c>
      <c r="P45" s="35">
        <f t="shared" si="29"/>
        <v>170.26255981830727</v>
      </c>
      <c r="Q45" s="2">
        <f t="shared" si="29"/>
        <v>164.78417065175631</v>
      </c>
      <c r="R45" s="2">
        <f t="shared" si="29"/>
        <v>156.60491523674179</v>
      </c>
      <c r="S45" s="2">
        <f t="shared" si="29"/>
        <v>153.93536979233707</v>
      </c>
      <c r="T45" s="2">
        <f t="shared" si="29"/>
        <v>150.72514639873339</v>
      </c>
      <c r="U45" s="35">
        <f t="shared" si="29"/>
        <v>146.98704875297372</v>
      </c>
      <c r="V45" s="2">
        <f t="shared" si="29"/>
        <v>142.73093827470532</v>
      </c>
      <c r="W45" s="2">
        <f t="shared" si="29"/>
        <v>122.70155506453013</v>
      </c>
      <c r="X45" s="2">
        <f t="shared" si="29"/>
        <v>107.9080861581823</v>
      </c>
      <c r="Y45" s="2">
        <f t="shared" si="29"/>
        <v>98.631985409461208</v>
      </c>
      <c r="Z45" s="46">
        <f t="shared" si="29"/>
        <v>92.264396016479424</v>
      </c>
      <c r="AA45" s="28"/>
      <c r="AB45" s="75" t="s">
        <v>147</v>
      </c>
    </row>
    <row r="46" spans="1:65" ht="15" customHeight="1" x14ac:dyDescent="0.25">
      <c r="A46" s="413"/>
      <c r="B46" s="414"/>
      <c r="C46" s="4"/>
      <c r="D46" s="20"/>
      <c r="E46" s="11" t="s">
        <v>37</v>
      </c>
      <c r="F46" s="12" t="s">
        <v>13</v>
      </c>
      <c r="G46" s="42">
        <f>G45*100/G13</f>
        <v>0.49999999999999994</v>
      </c>
      <c r="H46" s="32">
        <f t="shared" ref="H46:Z46" si="30">+H45/H13*100</f>
        <v>0.5</v>
      </c>
      <c r="I46" s="32">
        <f t="shared" si="30"/>
        <v>0.5</v>
      </c>
      <c r="J46" s="32">
        <f t="shared" si="30"/>
        <v>0.5</v>
      </c>
      <c r="K46" s="42">
        <f t="shared" si="30"/>
        <v>0.5</v>
      </c>
      <c r="L46" s="32">
        <f t="shared" si="30"/>
        <v>0.5</v>
      </c>
      <c r="M46" s="32">
        <f t="shared" si="30"/>
        <v>0.5</v>
      </c>
      <c r="N46" s="32">
        <f t="shared" si="30"/>
        <v>0.5</v>
      </c>
      <c r="O46" s="32">
        <f t="shared" si="30"/>
        <v>0.5</v>
      </c>
      <c r="P46" s="42">
        <f t="shared" si="30"/>
        <v>0.5</v>
      </c>
      <c r="Q46" s="32">
        <f t="shared" si="30"/>
        <v>0.5</v>
      </c>
      <c r="R46" s="32">
        <f t="shared" si="30"/>
        <v>0.5</v>
      </c>
      <c r="S46" s="32">
        <f t="shared" si="30"/>
        <v>0.5</v>
      </c>
      <c r="T46" s="32">
        <f t="shared" si="30"/>
        <v>0.5</v>
      </c>
      <c r="U46" s="42">
        <f t="shared" si="30"/>
        <v>0.5</v>
      </c>
      <c r="V46" s="32">
        <f t="shared" si="30"/>
        <v>0.5</v>
      </c>
      <c r="W46" s="32">
        <f t="shared" si="30"/>
        <v>0.5</v>
      </c>
      <c r="X46" s="32">
        <f t="shared" si="30"/>
        <v>0.5</v>
      </c>
      <c r="Y46" s="32">
        <f t="shared" si="30"/>
        <v>0.5</v>
      </c>
      <c r="Z46" s="86">
        <f t="shared" si="30"/>
        <v>0.5</v>
      </c>
      <c r="AA46" s="28"/>
      <c r="AB46" s="75" t="s">
        <v>148</v>
      </c>
    </row>
    <row r="47" spans="1:65" ht="15" customHeight="1" x14ac:dyDescent="0.25">
      <c r="A47" s="413"/>
      <c r="B47" s="414"/>
      <c r="C47" s="4"/>
      <c r="D47" s="8"/>
      <c r="E47" s="417" t="s">
        <v>0</v>
      </c>
      <c r="F47" s="418"/>
      <c r="G47" s="418"/>
      <c r="H47" s="418"/>
      <c r="I47" s="418"/>
      <c r="J47" s="418"/>
      <c r="K47" s="418"/>
      <c r="L47" s="418"/>
      <c r="M47" s="418"/>
      <c r="N47" s="418"/>
      <c r="O47" s="418"/>
      <c r="P47" s="418"/>
      <c r="Q47" s="418"/>
      <c r="R47" s="418"/>
      <c r="S47" s="418"/>
      <c r="T47" s="418"/>
      <c r="U47" s="418"/>
      <c r="V47" s="418"/>
      <c r="W47" s="418"/>
      <c r="X47" s="418"/>
      <c r="Y47" s="418"/>
      <c r="Z47" s="419"/>
      <c r="AA47" s="28"/>
    </row>
    <row r="48" spans="1:65" x14ac:dyDescent="0.25">
      <c r="A48" s="413"/>
      <c r="B48" s="414"/>
      <c r="C48" s="5">
        <f>Eingabemaske!B16</f>
        <v>4</v>
      </c>
      <c r="D48" s="20" t="s">
        <v>20</v>
      </c>
      <c r="E48" s="11" t="s">
        <v>41</v>
      </c>
      <c r="F48" s="12" t="s">
        <v>20</v>
      </c>
      <c r="G48" s="42">
        <f>$C$48*0.9</f>
        <v>3.6</v>
      </c>
      <c r="H48" s="42">
        <f t="shared" ref="H48:Y48" si="31">$C$48*0.9</f>
        <v>3.6</v>
      </c>
      <c r="I48" s="42">
        <f t="shared" si="31"/>
        <v>3.6</v>
      </c>
      <c r="J48" s="42">
        <f t="shared" si="31"/>
        <v>3.6</v>
      </c>
      <c r="K48" s="42">
        <f t="shared" si="31"/>
        <v>3.6</v>
      </c>
      <c r="L48" s="42">
        <f t="shared" si="31"/>
        <v>3.6</v>
      </c>
      <c r="M48" s="42">
        <f t="shared" si="31"/>
        <v>3.6</v>
      </c>
      <c r="N48" s="42">
        <f t="shared" si="31"/>
        <v>3.6</v>
      </c>
      <c r="O48" s="42">
        <f t="shared" si="31"/>
        <v>3.6</v>
      </c>
      <c r="P48" s="42">
        <f t="shared" si="31"/>
        <v>3.6</v>
      </c>
      <c r="Q48" s="42">
        <f t="shared" si="31"/>
        <v>3.6</v>
      </c>
      <c r="R48" s="42">
        <f t="shared" si="31"/>
        <v>3.6</v>
      </c>
      <c r="S48" s="42">
        <f t="shared" si="31"/>
        <v>3.6</v>
      </c>
      <c r="T48" s="42">
        <f t="shared" si="31"/>
        <v>3.6</v>
      </c>
      <c r="U48" s="42">
        <f t="shared" si="31"/>
        <v>3.6</v>
      </c>
      <c r="V48" s="42">
        <f t="shared" si="31"/>
        <v>3.6</v>
      </c>
      <c r="W48" s="42">
        <f t="shared" si="31"/>
        <v>3.6</v>
      </c>
      <c r="X48" s="42">
        <f t="shared" si="31"/>
        <v>3.6</v>
      </c>
      <c r="Y48" s="42">
        <f t="shared" si="31"/>
        <v>3.6</v>
      </c>
      <c r="Z48" s="86">
        <f>$C$48*0.9</f>
        <v>3.6</v>
      </c>
      <c r="AA48" s="28"/>
      <c r="AY48" s="16"/>
      <c r="AZ48" s="16"/>
      <c r="BM48" s="10"/>
    </row>
    <row r="49" spans="1:52" ht="15" customHeight="1" x14ac:dyDescent="0.25">
      <c r="A49" s="413"/>
      <c r="B49" s="414"/>
      <c r="C49" s="4"/>
      <c r="D49" s="19"/>
      <c r="E49" s="11" t="s">
        <v>0</v>
      </c>
      <c r="F49" s="12" t="s">
        <v>15</v>
      </c>
      <c r="G49" s="35">
        <f t="shared" ref="G49:Z49" si="32">+G48/100*G7*G13/G5</f>
        <v>821.70523092000008</v>
      </c>
      <c r="H49" s="2">
        <f t="shared" si="32"/>
        <v>1389.4584188325775</v>
      </c>
      <c r="I49" s="2">
        <f t="shared" si="32"/>
        <v>1847.6900761324966</v>
      </c>
      <c r="J49" s="2">
        <f t="shared" si="32"/>
        <v>2192.5970010371325</v>
      </c>
      <c r="K49" s="35">
        <f t="shared" si="32"/>
        <v>2477.2273171712804</v>
      </c>
      <c r="L49" s="2">
        <f t="shared" si="32"/>
        <v>2552.4604141410518</v>
      </c>
      <c r="M49" s="2">
        <f t="shared" si="32"/>
        <v>2678.6675331181632</v>
      </c>
      <c r="N49" s="2">
        <f t="shared" si="32"/>
        <v>2792.4022087852236</v>
      </c>
      <c r="O49" s="2">
        <f t="shared" si="32"/>
        <v>2861.72190729774</v>
      </c>
      <c r="P49" s="35">
        <f t="shared" si="32"/>
        <v>2809.6577405999979</v>
      </c>
      <c r="Q49" s="2">
        <f t="shared" si="32"/>
        <v>2591.23246668</v>
      </c>
      <c r="R49" s="2">
        <f t="shared" si="32"/>
        <v>2430.5197284000001</v>
      </c>
      <c r="S49" s="2">
        <f t="shared" si="32"/>
        <v>2360.3170446000004</v>
      </c>
      <c r="T49" s="2">
        <f t="shared" si="32"/>
        <v>2285.2183968000004</v>
      </c>
      <c r="U49" s="35">
        <f t="shared" si="32"/>
        <v>2205.2237850000001</v>
      </c>
      <c r="V49" s="2">
        <f t="shared" si="32"/>
        <v>2120.333209200001</v>
      </c>
      <c r="W49" s="2">
        <f t="shared" si="32"/>
        <v>1805.9089611599998</v>
      </c>
      <c r="X49" s="2">
        <f t="shared" si="32"/>
        <v>1574.2700244000002</v>
      </c>
      <c r="Y49" s="2">
        <f t="shared" si="32"/>
        <v>1426.9831074000001</v>
      </c>
      <c r="Z49" s="46">
        <f t="shared" si="32"/>
        <v>1324.3038624000001</v>
      </c>
      <c r="AA49" s="28"/>
    </row>
    <row r="50" spans="1:52" ht="15" customHeight="1" x14ac:dyDescent="0.25">
      <c r="A50" s="415"/>
      <c r="B50" s="416"/>
      <c r="C50" s="21"/>
      <c r="D50" s="22"/>
      <c r="E50" s="72" t="s">
        <v>31</v>
      </c>
      <c r="F50" s="31" t="s">
        <v>13</v>
      </c>
      <c r="G50" s="87">
        <f t="shared" ref="G50:Z50" si="33">G49*100/G13</f>
        <v>10.200000000000001</v>
      </c>
      <c r="H50" s="88">
        <f t="shared" si="33"/>
        <v>10.057731958762888</v>
      </c>
      <c r="I50" s="88">
        <f t="shared" si="33"/>
        <v>9.8965971779655142</v>
      </c>
      <c r="J50" s="88">
        <f t="shared" si="33"/>
        <v>9.4837097906692236</v>
      </c>
      <c r="K50" s="87">
        <f t="shared" si="33"/>
        <v>9.1721679600693733</v>
      </c>
      <c r="L50" s="88">
        <f t="shared" si="33"/>
        <v>8.9231345440513632</v>
      </c>
      <c r="M50" s="88">
        <f t="shared" si="33"/>
        <v>8.7163718724078745</v>
      </c>
      <c r="N50" s="88">
        <f t="shared" si="33"/>
        <v>8.5400272886096129</v>
      </c>
      <c r="O50" s="88">
        <f t="shared" si="33"/>
        <v>8.3865773024296697</v>
      </c>
      <c r="P50" s="87">
        <f t="shared" si="33"/>
        <v>8.2509558871846966</v>
      </c>
      <c r="Q50" s="88">
        <f t="shared" si="33"/>
        <v>7.8625041969478211</v>
      </c>
      <c r="R50" s="88">
        <f t="shared" si="33"/>
        <v>7.7600365375689195</v>
      </c>
      <c r="S50" s="88">
        <f t="shared" si="33"/>
        <v>7.6665845146054847</v>
      </c>
      <c r="T50" s="88">
        <f t="shared" si="33"/>
        <v>7.5807469801840712</v>
      </c>
      <c r="U50" s="87">
        <f t="shared" si="33"/>
        <v>7.5014220766691393</v>
      </c>
      <c r="V50" s="88">
        <f t="shared" si="33"/>
        <v>7.4277281254857579</v>
      </c>
      <c r="W50" s="88">
        <f t="shared" si="33"/>
        <v>7.3589489563121351</v>
      </c>
      <c r="X50" s="88">
        <f t="shared" si="33"/>
        <v>7.2944951599469574</v>
      </c>
      <c r="Y50" s="88">
        <f t="shared" si="33"/>
        <v>7.2338760163653646</v>
      </c>
      <c r="Z50" s="50">
        <f t="shared" si="33"/>
        <v>7.1766787600466442</v>
      </c>
      <c r="AA50" s="28"/>
    </row>
    <row r="53" spans="1:52" ht="15" customHeight="1" x14ac:dyDescent="0.25">
      <c r="A53" s="411" t="s">
        <v>24</v>
      </c>
      <c r="B53" s="412"/>
      <c r="C53" s="83"/>
      <c r="D53" s="84"/>
      <c r="E53" s="417" t="s">
        <v>122</v>
      </c>
      <c r="F53" s="418"/>
      <c r="G53" s="418"/>
      <c r="H53" s="418"/>
      <c r="I53" s="418"/>
      <c r="J53" s="418"/>
      <c r="K53" s="418"/>
      <c r="L53" s="418"/>
      <c r="M53" s="418"/>
      <c r="N53" s="418"/>
      <c r="O53" s="418"/>
      <c r="P53" s="418"/>
      <c r="Q53" s="418"/>
      <c r="R53" s="418"/>
      <c r="S53" s="418"/>
      <c r="T53" s="418"/>
      <c r="U53" s="418"/>
      <c r="V53" s="418"/>
      <c r="W53" s="418"/>
      <c r="X53" s="418"/>
      <c r="Y53" s="418"/>
      <c r="Z53" s="419"/>
    </row>
    <row r="54" spans="1:52" x14ac:dyDescent="0.25">
      <c r="A54" s="413"/>
      <c r="B54" s="414"/>
      <c r="C54" s="4"/>
      <c r="D54" s="19"/>
      <c r="E54" s="11" t="s">
        <v>3</v>
      </c>
      <c r="F54" s="12" t="s">
        <v>6</v>
      </c>
      <c r="G54" s="35">
        <v>12000</v>
      </c>
      <c r="H54" s="2">
        <f>IMPOWER(H3,-0.542)*9585*H3</f>
        <v>13166.303297422926</v>
      </c>
      <c r="I54" s="2">
        <f>IMPOWER(I3,-0.542)*9585*I3</f>
        <v>15853.080023712717</v>
      </c>
      <c r="J54" s="2">
        <f>IMPOWER(J3,-0.542)*9585*J3</f>
        <v>18085.711269664051</v>
      </c>
      <c r="K54" s="35">
        <f>IMPOWER(K3,-0.542)*9585*K3</f>
        <v>20031.818620571124</v>
      </c>
      <c r="L54" s="2">
        <f>IMPOWER(L3,-0.542)*9585*L3</f>
        <v>21776.365132031122</v>
      </c>
      <c r="M54" s="254">
        <v>22800</v>
      </c>
      <c r="N54" s="254">
        <v>23400</v>
      </c>
      <c r="O54" s="254">
        <v>24000</v>
      </c>
      <c r="P54" s="254">
        <v>24600</v>
      </c>
      <c r="Q54" s="2">
        <f t="shared" ref="Q54:Z54" si="34">IMPOWER(Q3,-0.351)*5438*Q3</f>
        <v>25781.195723344961</v>
      </c>
      <c r="R54" s="2">
        <f t="shared" si="34"/>
        <v>27278.961441455554</v>
      </c>
      <c r="S54" s="2">
        <f t="shared" si="34"/>
        <v>28733.493958899038</v>
      </c>
      <c r="T54" s="2">
        <f t="shared" si="34"/>
        <v>30149.235102918028</v>
      </c>
      <c r="U54" s="35">
        <f t="shared" si="34"/>
        <v>31529.888168605641</v>
      </c>
      <c r="V54" s="2">
        <f t="shared" si="34"/>
        <v>32878.581480734589</v>
      </c>
      <c r="W54" s="2">
        <f t="shared" si="34"/>
        <v>34197.987814446373</v>
      </c>
      <c r="X54" s="2">
        <f t="shared" si="34"/>
        <v>35490.41347604456</v>
      </c>
      <c r="Y54" s="2">
        <f t="shared" si="34"/>
        <v>36757.866004322532</v>
      </c>
      <c r="Z54" s="46">
        <f t="shared" si="34"/>
        <v>38002.10647515906</v>
      </c>
      <c r="AB54" s="75" t="s">
        <v>149</v>
      </c>
    </row>
    <row r="55" spans="1:52" x14ac:dyDescent="0.25">
      <c r="A55" s="413"/>
      <c r="B55" s="414"/>
      <c r="C55" s="4"/>
      <c r="D55" s="94"/>
      <c r="E55" s="26" t="s">
        <v>4</v>
      </c>
      <c r="F55" s="108" t="s">
        <v>6</v>
      </c>
      <c r="G55" s="39">
        <v>4500</v>
      </c>
      <c r="H55" s="2">
        <f t="shared" ref="H55:M55" si="35">IMPOWER(H3,-0.631)*4603*H3</f>
        <v>5944.5781834416439</v>
      </c>
      <c r="I55" s="2">
        <f t="shared" si="35"/>
        <v>6903.9671755106483</v>
      </c>
      <c r="J55" s="2">
        <f t="shared" si="35"/>
        <v>7677.1691894526184</v>
      </c>
      <c r="K55" s="35">
        <f t="shared" si="35"/>
        <v>8336.0614324806902</v>
      </c>
      <c r="L55" s="2">
        <f t="shared" si="35"/>
        <v>8916.1791550592698</v>
      </c>
      <c r="M55" s="2">
        <f t="shared" si="35"/>
        <v>9438.0473461507736</v>
      </c>
      <c r="N55" s="2">
        <v>9438.0499999999993</v>
      </c>
      <c r="O55" s="2">
        <v>9438.0499999999993</v>
      </c>
      <c r="P55" s="35">
        <f t="shared" ref="P55:Z55" si="36">IMPOWER(P3,-0.353)*2141*P3</f>
        <v>9497.66106657198</v>
      </c>
      <c r="Q55" s="2">
        <f t="shared" si="36"/>
        <v>10101.776011465907</v>
      </c>
      <c r="R55" s="2">
        <f t="shared" si="36"/>
        <v>10686.781586430283</v>
      </c>
      <c r="S55" s="2">
        <f t="shared" si="36"/>
        <v>11254.806072691097</v>
      </c>
      <c r="T55" s="2">
        <f t="shared" si="36"/>
        <v>11807.596574887739</v>
      </c>
      <c r="U55" s="35">
        <f t="shared" si="36"/>
        <v>12346.609484580506</v>
      </c>
      <c r="V55" s="2">
        <f t="shared" si="36"/>
        <v>12873.074898153491</v>
      </c>
      <c r="W55" s="2">
        <f t="shared" si="36"/>
        <v>13388.043643114801</v>
      </c>
      <c r="X55" s="2">
        <f t="shared" si="36"/>
        <v>13892.422352178544</v>
      </c>
      <c r="Y55" s="2">
        <f t="shared" si="36"/>
        <v>14387.000116151077</v>
      </c>
      <c r="Z55" s="46">
        <f t="shared" si="36"/>
        <v>14872.469072922046</v>
      </c>
      <c r="AB55" s="75" t="s">
        <v>149</v>
      </c>
    </row>
    <row r="56" spans="1:52" x14ac:dyDescent="0.25">
      <c r="A56" s="413"/>
      <c r="B56" s="414"/>
      <c r="C56" s="4"/>
      <c r="D56" s="94"/>
      <c r="E56" s="26" t="s">
        <v>17</v>
      </c>
      <c r="F56" s="108" t="s">
        <v>6</v>
      </c>
      <c r="G56" s="39">
        <f>G54+G55</f>
        <v>16500</v>
      </c>
      <c r="H56" s="2">
        <f t="shared" ref="H56:Z56" si="37">H54+H55</f>
        <v>19110.881480864569</v>
      </c>
      <c r="I56" s="2">
        <f t="shared" si="37"/>
        <v>22757.047199223365</v>
      </c>
      <c r="J56" s="2">
        <f t="shared" si="37"/>
        <v>25762.88045911667</v>
      </c>
      <c r="K56" s="35">
        <f t="shared" si="37"/>
        <v>28367.880053051813</v>
      </c>
      <c r="L56" s="2">
        <f t="shared" si="37"/>
        <v>30692.544287090393</v>
      </c>
      <c r="M56" s="2">
        <f t="shared" si="37"/>
        <v>32238.047346150772</v>
      </c>
      <c r="N56" s="2">
        <f t="shared" si="37"/>
        <v>32838.050000000003</v>
      </c>
      <c r="O56" s="2">
        <f t="shared" si="37"/>
        <v>33438.050000000003</v>
      </c>
      <c r="P56" s="35">
        <f t="shared" si="37"/>
        <v>34097.661066571978</v>
      </c>
      <c r="Q56" s="2">
        <f t="shared" si="37"/>
        <v>35882.971734810868</v>
      </c>
      <c r="R56" s="2">
        <f t="shared" si="37"/>
        <v>37965.743027885837</v>
      </c>
      <c r="S56" s="2">
        <f t="shared" si="37"/>
        <v>39988.300031590137</v>
      </c>
      <c r="T56" s="2">
        <f t="shared" si="37"/>
        <v>41956.831677805763</v>
      </c>
      <c r="U56" s="35">
        <f t="shared" si="37"/>
        <v>43876.497653186147</v>
      </c>
      <c r="V56" s="2">
        <f t="shared" si="37"/>
        <v>45751.656378888081</v>
      </c>
      <c r="W56" s="2">
        <f t="shared" si="37"/>
        <v>47586.03145756117</v>
      </c>
      <c r="X56" s="2">
        <f t="shared" si="37"/>
        <v>49382.835828223106</v>
      </c>
      <c r="Y56" s="2">
        <f>Y54+Y55</f>
        <v>51144.866120473613</v>
      </c>
      <c r="Z56" s="46">
        <f t="shared" si="37"/>
        <v>52874.575548081106</v>
      </c>
      <c r="AB56" s="75" t="s">
        <v>150</v>
      </c>
    </row>
    <row r="57" spans="1:52" x14ac:dyDescent="0.25">
      <c r="A57" s="413"/>
      <c r="B57" s="414"/>
      <c r="C57" s="4"/>
      <c r="D57" s="94"/>
      <c r="E57" s="26" t="s">
        <v>121</v>
      </c>
      <c r="F57" s="108" t="s">
        <v>6</v>
      </c>
      <c r="G57" s="39">
        <f t="shared" ref="G57:Z57" si="38">G56-G22</f>
        <v>14125</v>
      </c>
      <c r="H57" s="2">
        <f t="shared" si="38"/>
        <v>16360.881480864569</v>
      </c>
      <c r="I57" s="2">
        <f t="shared" si="38"/>
        <v>19632.047199223365</v>
      </c>
      <c r="J57" s="2">
        <f t="shared" si="38"/>
        <v>22262.88045911667</v>
      </c>
      <c r="K57" s="35">
        <f t="shared" si="38"/>
        <v>24742.880053051813</v>
      </c>
      <c r="L57" s="2">
        <f t="shared" si="38"/>
        <v>26942.544287090393</v>
      </c>
      <c r="M57" s="2">
        <f t="shared" si="38"/>
        <v>28363.047346150772</v>
      </c>
      <c r="N57" s="2">
        <f t="shared" si="38"/>
        <v>28838.050000000003</v>
      </c>
      <c r="O57" s="2">
        <f t="shared" si="38"/>
        <v>29313.050000000003</v>
      </c>
      <c r="P57" s="35">
        <f t="shared" si="38"/>
        <v>29847.661066571978</v>
      </c>
      <c r="Q57" s="2">
        <f t="shared" si="38"/>
        <v>31620.471734810868</v>
      </c>
      <c r="R57" s="2">
        <f t="shared" si="38"/>
        <v>33690.743027885837</v>
      </c>
      <c r="S57" s="2">
        <f t="shared" si="38"/>
        <v>35700.800031590137</v>
      </c>
      <c r="T57" s="2">
        <f t="shared" si="38"/>
        <v>37656.831677805763</v>
      </c>
      <c r="U57" s="35">
        <f t="shared" si="38"/>
        <v>39563.997653186147</v>
      </c>
      <c r="V57" s="2">
        <f t="shared" si="38"/>
        <v>41426.656378888081</v>
      </c>
      <c r="W57" s="2">
        <f t="shared" si="38"/>
        <v>43248.53145756117</v>
      </c>
      <c r="X57" s="2">
        <f t="shared" si="38"/>
        <v>45032.835828223106</v>
      </c>
      <c r="Y57" s="2">
        <f t="shared" si="38"/>
        <v>46782.366120473613</v>
      </c>
      <c r="Z57" s="46">
        <f t="shared" si="38"/>
        <v>48499.575548081106</v>
      </c>
      <c r="AB57" s="75" t="s">
        <v>151</v>
      </c>
    </row>
    <row r="58" spans="1:52" x14ac:dyDescent="0.25">
      <c r="A58" s="413"/>
      <c r="B58" s="414"/>
      <c r="C58" s="4"/>
      <c r="D58" s="94"/>
      <c r="E58" s="417" t="s">
        <v>123</v>
      </c>
      <c r="F58" s="418"/>
      <c r="G58" s="418"/>
      <c r="H58" s="418"/>
      <c r="I58" s="418"/>
      <c r="J58" s="418"/>
      <c r="K58" s="418"/>
      <c r="L58" s="418"/>
      <c r="M58" s="418"/>
      <c r="N58" s="418"/>
      <c r="O58" s="418"/>
      <c r="P58" s="418"/>
      <c r="Q58" s="418"/>
      <c r="R58" s="418"/>
      <c r="S58" s="418"/>
      <c r="T58" s="418"/>
      <c r="U58" s="418"/>
      <c r="V58" s="418"/>
      <c r="W58" s="418"/>
      <c r="X58" s="418"/>
      <c r="Y58" s="418"/>
      <c r="Z58" s="419"/>
    </row>
    <row r="59" spans="1:52" ht="15" customHeight="1" x14ac:dyDescent="0.25">
      <c r="A59" s="413"/>
      <c r="B59" s="414"/>
      <c r="C59" s="4">
        <v>15</v>
      </c>
      <c r="D59" s="19" t="s">
        <v>43</v>
      </c>
      <c r="E59" s="344" t="s">
        <v>52</v>
      </c>
      <c r="F59" s="12" t="s">
        <v>15</v>
      </c>
      <c r="G59" s="35">
        <f>+G57/$C59</f>
        <v>941.66666666666663</v>
      </c>
      <c r="H59" s="2">
        <f t="shared" ref="H59:Z59" si="39">+H57/$C59</f>
        <v>1090.725432057638</v>
      </c>
      <c r="I59" s="2">
        <f t="shared" si="39"/>
        <v>1308.8031466148909</v>
      </c>
      <c r="J59" s="2">
        <f t="shared" si="39"/>
        <v>1484.192030607778</v>
      </c>
      <c r="K59" s="35">
        <f t="shared" si="39"/>
        <v>1649.5253368701208</v>
      </c>
      <c r="L59" s="2">
        <f t="shared" si="39"/>
        <v>1796.1696191393596</v>
      </c>
      <c r="M59" s="2">
        <f t="shared" si="39"/>
        <v>1890.8698230767181</v>
      </c>
      <c r="N59" s="2">
        <f t="shared" si="39"/>
        <v>1922.5366666666669</v>
      </c>
      <c r="O59" s="2">
        <f t="shared" si="39"/>
        <v>1954.2033333333336</v>
      </c>
      <c r="P59" s="254">
        <f t="shared" si="39"/>
        <v>1989.8440711047986</v>
      </c>
      <c r="Q59" s="2">
        <f t="shared" si="39"/>
        <v>2108.0314489873913</v>
      </c>
      <c r="R59" s="2">
        <f t="shared" si="39"/>
        <v>2246.0495351923892</v>
      </c>
      <c r="S59" s="2">
        <f t="shared" si="39"/>
        <v>2380.0533354393424</v>
      </c>
      <c r="T59" s="2">
        <f t="shared" si="39"/>
        <v>2510.4554451870508</v>
      </c>
      <c r="U59" s="35">
        <f t="shared" si="39"/>
        <v>2637.5998435457432</v>
      </c>
      <c r="V59" s="2">
        <f t="shared" si="39"/>
        <v>2761.7770919258719</v>
      </c>
      <c r="W59" s="2">
        <f t="shared" si="39"/>
        <v>2883.2354305040781</v>
      </c>
      <c r="X59" s="2">
        <f t="shared" si="39"/>
        <v>3002.1890552148739</v>
      </c>
      <c r="Y59" s="2">
        <f t="shared" si="39"/>
        <v>3118.824408031574</v>
      </c>
      <c r="Z59" s="46">
        <f t="shared" si="39"/>
        <v>3233.3050365387403</v>
      </c>
      <c r="AA59" s="28"/>
    </row>
    <row r="60" spans="1:52" ht="15" customHeight="1" x14ac:dyDescent="0.25">
      <c r="A60" s="413"/>
      <c r="B60" s="414"/>
      <c r="C60" s="92">
        <f>Eingabemaske!B20</f>
        <v>0.02</v>
      </c>
      <c r="D60" s="19"/>
      <c r="E60" s="352" t="s">
        <v>136</v>
      </c>
      <c r="F60" s="24" t="s">
        <v>15</v>
      </c>
      <c r="G60" s="35">
        <f>+G57*$C60/2</f>
        <v>141.25</v>
      </c>
      <c r="H60" s="168">
        <f t="shared" ref="H60:Z60" si="40">+H57*$C60/2</f>
        <v>163.60881480864569</v>
      </c>
      <c r="I60" s="168">
        <f t="shared" si="40"/>
        <v>196.32047199223365</v>
      </c>
      <c r="J60" s="168">
        <f t="shared" si="40"/>
        <v>222.6288045911667</v>
      </c>
      <c r="K60" s="168">
        <f t="shared" si="40"/>
        <v>247.42880053051815</v>
      </c>
      <c r="L60" s="168">
        <f t="shared" si="40"/>
        <v>269.42544287090396</v>
      </c>
      <c r="M60" s="168">
        <f t="shared" si="40"/>
        <v>283.63047346150773</v>
      </c>
      <c r="N60" s="168">
        <f t="shared" si="40"/>
        <v>288.38050000000004</v>
      </c>
      <c r="O60" s="168">
        <f t="shared" si="40"/>
        <v>293.13050000000004</v>
      </c>
      <c r="P60" s="254">
        <f t="shared" si="40"/>
        <v>298.47661066571976</v>
      </c>
      <c r="Q60" s="168">
        <f t="shared" si="40"/>
        <v>316.20471734810866</v>
      </c>
      <c r="R60" s="168">
        <f t="shared" si="40"/>
        <v>336.90743027885839</v>
      </c>
      <c r="S60" s="168">
        <f t="shared" si="40"/>
        <v>357.00800031590137</v>
      </c>
      <c r="T60" s="168">
        <f t="shared" si="40"/>
        <v>376.56831677805764</v>
      </c>
      <c r="U60" s="168">
        <f t="shared" si="40"/>
        <v>395.63997653186146</v>
      </c>
      <c r="V60" s="168">
        <f t="shared" si="40"/>
        <v>414.26656378888083</v>
      </c>
      <c r="W60" s="168">
        <f t="shared" si="40"/>
        <v>432.48531457561171</v>
      </c>
      <c r="X60" s="168">
        <f t="shared" si="40"/>
        <v>450.32835828223108</v>
      </c>
      <c r="Y60" s="168">
        <f t="shared" si="40"/>
        <v>467.82366120473614</v>
      </c>
      <c r="Z60" s="172">
        <f t="shared" si="40"/>
        <v>484.99575548081106</v>
      </c>
      <c r="AA60" s="28"/>
    </row>
    <row r="61" spans="1:52" ht="15" customHeight="1" x14ac:dyDescent="0.25">
      <c r="A61" s="413"/>
      <c r="B61" s="414"/>
      <c r="C61" s="4"/>
      <c r="D61" s="19"/>
      <c r="E61" s="23" t="s">
        <v>53</v>
      </c>
      <c r="F61" s="24" t="s">
        <v>15</v>
      </c>
      <c r="G61" s="35">
        <f>SUM(G59:G60)</f>
        <v>1082.9166666666665</v>
      </c>
      <c r="H61" s="35">
        <f t="shared" ref="H61:Z61" si="41">SUM(H59:H60)</f>
        <v>1254.3342468662838</v>
      </c>
      <c r="I61" s="35">
        <f t="shared" si="41"/>
        <v>1505.1236186071246</v>
      </c>
      <c r="J61" s="35">
        <f t="shared" si="41"/>
        <v>1706.8208351989447</v>
      </c>
      <c r="K61" s="35">
        <f t="shared" si="41"/>
        <v>1896.954137400639</v>
      </c>
      <c r="L61" s="35">
        <f t="shared" si="41"/>
        <v>2065.5950620102635</v>
      </c>
      <c r="M61" s="35">
        <f t="shared" si="41"/>
        <v>2174.5002965382259</v>
      </c>
      <c r="N61" s="35">
        <f t="shared" si="41"/>
        <v>2210.9171666666671</v>
      </c>
      <c r="O61" s="35">
        <f t="shared" si="41"/>
        <v>2247.3338333333336</v>
      </c>
      <c r="P61" s="35">
        <f>SUM(P59:P60)</f>
        <v>2288.3206817705181</v>
      </c>
      <c r="Q61" s="35">
        <f t="shared" si="41"/>
        <v>2424.2361663355</v>
      </c>
      <c r="R61" s="35">
        <f t="shared" si="41"/>
        <v>2582.9569654712477</v>
      </c>
      <c r="S61" s="35">
        <f t="shared" si="41"/>
        <v>2737.0613357552438</v>
      </c>
      <c r="T61" s="35">
        <f t="shared" si="41"/>
        <v>2887.0237619651084</v>
      </c>
      <c r="U61" s="35">
        <f t="shared" si="41"/>
        <v>3033.2398200776047</v>
      </c>
      <c r="V61" s="35">
        <f t="shared" si="41"/>
        <v>3176.0436557147527</v>
      </c>
      <c r="W61" s="35">
        <f t="shared" si="41"/>
        <v>3315.7207450796896</v>
      </c>
      <c r="X61" s="35">
        <f t="shared" si="41"/>
        <v>3452.5174134971048</v>
      </c>
      <c r="Y61" s="35">
        <f t="shared" si="41"/>
        <v>3586.6480692363102</v>
      </c>
      <c r="Z61" s="46">
        <f t="shared" si="41"/>
        <v>3718.3007920195514</v>
      </c>
      <c r="AA61" s="28"/>
    </row>
    <row r="62" spans="1:52" ht="15" customHeight="1" x14ac:dyDescent="0.25">
      <c r="A62" s="413"/>
      <c r="B62" s="414"/>
      <c r="C62" s="4"/>
      <c r="D62" s="19"/>
      <c r="E62" s="109" t="s">
        <v>54</v>
      </c>
      <c r="F62" s="24" t="s">
        <v>13</v>
      </c>
      <c r="G62" s="42">
        <f t="shared" ref="G62:Z62" si="42">G61/G13*100</f>
        <v>13.442472536815817</v>
      </c>
      <c r="H62" s="42">
        <f t="shared" si="42"/>
        <v>9.0796222979292569</v>
      </c>
      <c r="I62" s="42">
        <f t="shared" si="42"/>
        <v>8.0617427937781265</v>
      </c>
      <c r="J62" s="42">
        <f t="shared" si="42"/>
        <v>7.3825666358376631</v>
      </c>
      <c r="K62" s="42">
        <f t="shared" si="42"/>
        <v>7.0236517416799353</v>
      </c>
      <c r="L62" s="42">
        <f t="shared" si="42"/>
        <v>7.221104213695809</v>
      </c>
      <c r="M62" s="42">
        <f t="shared" si="42"/>
        <v>7.0758139959328332</v>
      </c>
      <c r="N62" s="42">
        <f t="shared" si="42"/>
        <v>6.7616666670675274</v>
      </c>
      <c r="O62" s="42">
        <f t="shared" si="42"/>
        <v>6.5860483751241965</v>
      </c>
      <c r="P62" s="42">
        <f t="shared" si="42"/>
        <v>6.7199761480517495</v>
      </c>
      <c r="Q62" s="42">
        <f t="shared" si="42"/>
        <v>7.3557919936943339</v>
      </c>
      <c r="R62" s="42">
        <f t="shared" si="42"/>
        <v>8.2467301922374414</v>
      </c>
      <c r="S62" s="42">
        <f t="shared" si="42"/>
        <v>8.8902938273627861</v>
      </c>
      <c r="T62" s="42">
        <f t="shared" si="42"/>
        <v>9.5771138092899175</v>
      </c>
      <c r="U62" s="42">
        <f t="shared" si="42"/>
        <v>10.318051303878018</v>
      </c>
      <c r="V62" s="42">
        <f t="shared" si="42"/>
        <v>11.125981844251664</v>
      </c>
      <c r="W62" s="42">
        <f t="shared" si="42"/>
        <v>13.511323240100397</v>
      </c>
      <c r="X62" s="42">
        <f t="shared" si="42"/>
        <v>15.997491645047177</v>
      </c>
      <c r="Y62" s="42">
        <f t="shared" si="42"/>
        <v>18.181972381204154</v>
      </c>
      <c r="Z62" s="86">
        <f t="shared" si="42"/>
        <v>20.150247292332693</v>
      </c>
      <c r="AA62" s="28"/>
    </row>
    <row r="63" spans="1:52" ht="15" customHeight="1" x14ac:dyDescent="0.25">
      <c r="A63" s="413"/>
      <c r="B63" s="414"/>
      <c r="C63" s="4"/>
      <c r="D63" s="19"/>
      <c r="E63" s="417" t="s">
        <v>116</v>
      </c>
      <c r="F63" s="418"/>
      <c r="G63" s="418"/>
      <c r="H63" s="418"/>
      <c r="I63" s="418"/>
      <c r="J63" s="418"/>
      <c r="K63" s="418"/>
      <c r="L63" s="418"/>
      <c r="M63" s="418"/>
      <c r="N63" s="418"/>
      <c r="O63" s="418"/>
      <c r="P63" s="418"/>
      <c r="Q63" s="418"/>
      <c r="R63" s="418"/>
      <c r="S63" s="418"/>
      <c r="T63" s="418"/>
      <c r="U63" s="418"/>
      <c r="V63" s="418"/>
      <c r="W63" s="418"/>
      <c r="X63" s="418"/>
      <c r="Y63" s="418"/>
      <c r="Z63" s="419"/>
      <c r="AA63" s="9"/>
      <c r="AY63" s="15"/>
      <c r="AZ63" s="15"/>
    </row>
    <row r="64" spans="1:52" x14ac:dyDescent="0.25">
      <c r="A64" s="413"/>
      <c r="B64" s="414"/>
      <c r="C64" s="5">
        <f>Eingabemaske!B16</f>
        <v>4</v>
      </c>
      <c r="D64" s="20" t="s">
        <v>44</v>
      </c>
      <c r="E64" s="11" t="s">
        <v>46</v>
      </c>
      <c r="F64" s="12" t="s">
        <v>8</v>
      </c>
      <c r="G64" s="111">
        <f t="shared" ref="G64:Z64" si="43">$C$64</f>
        <v>4</v>
      </c>
      <c r="H64" s="6">
        <f t="shared" si="43"/>
        <v>4</v>
      </c>
      <c r="I64" s="6">
        <f t="shared" si="43"/>
        <v>4</v>
      </c>
      <c r="J64" s="6">
        <f t="shared" si="43"/>
        <v>4</v>
      </c>
      <c r="K64" s="38">
        <f t="shared" si="43"/>
        <v>4</v>
      </c>
      <c r="L64" s="6">
        <f t="shared" si="43"/>
        <v>4</v>
      </c>
      <c r="M64" s="6">
        <f t="shared" si="43"/>
        <v>4</v>
      </c>
      <c r="N64" s="6">
        <f t="shared" si="43"/>
        <v>4</v>
      </c>
      <c r="O64" s="6">
        <f t="shared" si="43"/>
        <v>4</v>
      </c>
      <c r="P64" s="38">
        <f t="shared" si="43"/>
        <v>4</v>
      </c>
      <c r="Q64" s="6">
        <f t="shared" si="43"/>
        <v>4</v>
      </c>
      <c r="R64" s="6">
        <f t="shared" si="43"/>
        <v>4</v>
      </c>
      <c r="S64" s="6">
        <f t="shared" si="43"/>
        <v>4</v>
      </c>
      <c r="T64" s="6">
        <f t="shared" si="43"/>
        <v>4</v>
      </c>
      <c r="U64" s="38">
        <f t="shared" si="43"/>
        <v>4</v>
      </c>
      <c r="V64" s="6">
        <f t="shared" si="43"/>
        <v>4</v>
      </c>
      <c r="W64" s="6">
        <f t="shared" si="43"/>
        <v>4</v>
      </c>
      <c r="X64" s="6">
        <f t="shared" si="43"/>
        <v>4</v>
      </c>
      <c r="Y64" s="6">
        <f t="shared" si="43"/>
        <v>4</v>
      </c>
      <c r="Z64" s="48">
        <f t="shared" si="43"/>
        <v>4</v>
      </c>
      <c r="AA64" s="9"/>
      <c r="AY64" s="15"/>
      <c r="AZ64" s="15"/>
    </row>
    <row r="65" spans="1:65" ht="18" x14ac:dyDescent="0.25">
      <c r="A65" s="413"/>
      <c r="B65" s="414"/>
      <c r="C65" s="5"/>
      <c r="D65" s="20"/>
      <c r="E65" s="11" t="s">
        <v>48</v>
      </c>
      <c r="F65" s="12" t="s">
        <v>8</v>
      </c>
      <c r="G65" s="111">
        <f>+G64*1.107</f>
        <v>4.4279999999999999</v>
      </c>
      <c r="H65" s="38">
        <f>+H64*1.107</f>
        <v>4.4279999999999999</v>
      </c>
      <c r="I65" s="6">
        <f t="shared" ref="I65:Z65" si="44">+I64*1.107</f>
        <v>4.4279999999999999</v>
      </c>
      <c r="J65" s="38">
        <f t="shared" si="44"/>
        <v>4.4279999999999999</v>
      </c>
      <c r="K65" s="38">
        <f t="shared" si="44"/>
        <v>4.4279999999999999</v>
      </c>
      <c r="L65" s="38">
        <f t="shared" si="44"/>
        <v>4.4279999999999999</v>
      </c>
      <c r="M65" s="38">
        <f t="shared" si="44"/>
        <v>4.4279999999999999</v>
      </c>
      <c r="N65" s="38">
        <f t="shared" si="44"/>
        <v>4.4279999999999999</v>
      </c>
      <c r="O65" s="38">
        <f t="shared" si="44"/>
        <v>4.4279999999999999</v>
      </c>
      <c r="P65" s="38">
        <f t="shared" si="44"/>
        <v>4.4279999999999999</v>
      </c>
      <c r="Q65" s="38">
        <f t="shared" si="44"/>
        <v>4.4279999999999999</v>
      </c>
      <c r="R65" s="38">
        <f t="shared" si="44"/>
        <v>4.4279999999999999</v>
      </c>
      <c r="S65" s="38">
        <f t="shared" si="44"/>
        <v>4.4279999999999999</v>
      </c>
      <c r="T65" s="38">
        <f t="shared" si="44"/>
        <v>4.4279999999999999</v>
      </c>
      <c r="U65" s="38">
        <f t="shared" si="44"/>
        <v>4.4279999999999999</v>
      </c>
      <c r="V65" s="38">
        <f t="shared" si="44"/>
        <v>4.4279999999999999</v>
      </c>
      <c r="W65" s="38">
        <f t="shared" si="44"/>
        <v>4.4279999999999999</v>
      </c>
      <c r="X65" s="38">
        <f t="shared" si="44"/>
        <v>4.4279999999999999</v>
      </c>
      <c r="Y65" s="38">
        <f t="shared" si="44"/>
        <v>4.4279999999999999</v>
      </c>
      <c r="Z65" s="48">
        <f t="shared" si="44"/>
        <v>4.4279999999999999</v>
      </c>
      <c r="AA65" s="9"/>
      <c r="AY65" s="15"/>
      <c r="AZ65" s="15"/>
    </row>
    <row r="66" spans="1:65" x14ac:dyDescent="0.25">
      <c r="A66" s="413"/>
      <c r="B66" s="414"/>
      <c r="C66" s="5"/>
      <c r="D66" s="20"/>
      <c r="E66" s="11" t="s">
        <v>49</v>
      </c>
      <c r="F66" s="12" t="s">
        <v>15</v>
      </c>
      <c r="G66" s="114">
        <f>G65/100*G14</f>
        <v>1486.3197559288235</v>
      </c>
      <c r="H66" s="2">
        <f t="shared" ref="H66:Z66" si="45">H64/100*H14</f>
        <v>2278.7345942313696</v>
      </c>
      <c r="I66" s="2">
        <f t="shared" si="45"/>
        <v>3043.2468558556011</v>
      </c>
      <c r="J66" s="2">
        <f t="shared" si="45"/>
        <v>3653.2645758527415</v>
      </c>
      <c r="K66" s="35">
        <f t="shared" si="45"/>
        <v>4166.085185327147</v>
      </c>
      <c r="L66" s="2">
        <f t="shared" si="45"/>
        <v>4326.376228997824</v>
      </c>
      <c r="M66" s="2">
        <f t="shared" si="45"/>
        <v>4571.2557509114122</v>
      </c>
      <c r="N66" s="2">
        <f t="shared" si="45"/>
        <v>4794.1105076210297</v>
      </c>
      <c r="O66" s="2">
        <f t="shared" si="45"/>
        <v>4939.7790908995257</v>
      </c>
      <c r="P66" s="35">
        <f t="shared" si="45"/>
        <v>4873.8504484200603</v>
      </c>
      <c r="Q66" s="2">
        <f t="shared" si="45"/>
        <v>4562.4136417544023</v>
      </c>
      <c r="R66" s="2">
        <f t="shared" si="45"/>
        <v>4297.1921716238412</v>
      </c>
      <c r="S66" s="2">
        <f t="shared" si="45"/>
        <v>4189.192882976844</v>
      </c>
      <c r="T66" s="2">
        <f t="shared" si="45"/>
        <v>4070.5790469455078</v>
      </c>
      <c r="U66" s="35">
        <f t="shared" si="45"/>
        <v>3941.4620000258583</v>
      </c>
      <c r="V66" s="2">
        <f t="shared" si="45"/>
        <v>3801.9274936930906</v>
      </c>
      <c r="W66" s="2">
        <f t="shared" si="45"/>
        <v>3248.0195140393917</v>
      </c>
      <c r="X66" s="2">
        <f t="shared" si="45"/>
        <v>2839.6234839841941</v>
      </c>
      <c r="Y66" s="2">
        <f t="shared" si="45"/>
        <v>2581.0789883431407</v>
      </c>
      <c r="Z66" s="46">
        <f t="shared" si="45"/>
        <v>2401.6998957954734</v>
      </c>
      <c r="AA66" s="9"/>
      <c r="AY66" s="16"/>
      <c r="AZ66" s="16"/>
      <c r="BM66" s="10"/>
    </row>
    <row r="67" spans="1:65" x14ac:dyDescent="0.25">
      <c r="A67" s="413"/>
      <c r="B67" s="414"/>
      <c r="C67" s="5"/>
      <c r="D67" s="20"/>
      <c r="E67" s="11" t="s">
        <v>45</v>
      </c>
      <c r="F67" s="12" t="s">
        <v>13</v>
      </c>
      <c r="G67" s="123">
        <f t="shared" ref="G67:Z67" si="46">G66*100/G13</f>
        <v>18.45</v>
      </c>
      <c r="H67" s="38">
        <f t="shared" si="46"/>
        <v>16.494845360824744</v>
      </c>
      <c r="I67" s="6">
        <f t="shared" si="46"/>
        <v>16.300238137639507</v>
      </c>
      <c r="J67" s="38">
        <f t="shared" si="46"/>
        <v>15.801581872788914</v>
      </c>
      <c r="K67" s="38">
        <f t="shared" si="46"/>
        <v>15.425323623272186</v>
      </c>
      <c r="L67" s="38">
        <f t="shared" si="46"/>
        <v>15.124558628081354</v>
      </c>
      <c r="M67" s="38">
        <f t="shared" si="46"/>
        <v>14.874845256531248</v>
      </c>
      <c r="N67" s="38">
        <f t="shared" si="46"/>
        <v>14.661868706050251</v>
      </c>
      <c r="O67" s="38">
        <f t="shared" si="46"/>
        <v>14.476542635784627</v>
      </c>
      <c r="P67" s="38">
        <f t="shared" si="46"/>
        <v>14.312748656020165</v>
      </c>
      <c r="Q67" s="38">
        <f t="shared" si="46"/>
        <v>13.843604102593984</v>
      </c>
      <c r="R67" s="38">
        <f t="shared" si="46"/>
        <v>13.719850890783718</v>
      </c>
      <c r="S67" s="38">
        <f t="shared" si="46"/>
        <v>13.606986128750584</v>
      </c>
      <c r="T67" s="38">
        <f t="shared" si="46"/>
        <v>13.503317608917959</v>
      </c>
      <c r="U67" s="38">
        <f t="shared" si="46"/>
        <v>13.407514585349201</v>
      </c>
      <c r="V67" s="38">
        <f t="shared" si="46"/>
        <v>13.318512228847533</v>
      </c>
      <c r="W67" s="38">
        <f t="shared" si="46"/>
        <v>13.235445599410788</v>
      </c>
      <c r="X67" s="38">
        <f t="shared" si="46"/>
        <v>13.157602850177483</v>
      </c>
      <c r="Y67" s="38">
        <f t="shared" si="46"/>
        <v>13.084391324112758</v>
      </c>
      <c r="Z67" s="48">
        <f t="shared" si="46"/>
        <v>13.015312512133628</v>
      </c>
      <c r="AA67" s="28"/>
      <c r="AY67" s="16"/>
      <c r="AZ67" s="16"/>
      <c r="BM67" s="10"/>
    </row>
    <row r="68" spans="1:65" x14ac:dyDescent="0.25">
      <c r="A68" s="413"/>
      <c r="B68" s="414"/>
      <c r="C68" s="5"/>
      <c r="D68" s="20"/>
      <c r="E68" s="417" t="s">
        <v>38</v>
      </c>
      <c r="F68" s="418"/>
      <c r="G68" s="418"/>
      <c r="H68" s="418"/>
      <c r="I68" s="418"/>
      <c r="J68" s="418"/>
      <c r="K68" s="418"/>
      <c r="L68" s="418"/>
      <c r="M68" s="418"/>
      <c r="N68" s="418"/>
      <c r="O68" s="418"/>
      <c r="P68" s="418"/>
      <c r="Q68" s="418"/>
      <c r="R68" s="418"/>
      <c r="S68" s="418"/>
      <c r="T68" s="418"/>
      <c r="U68" s="418"/>
      <c r="V68" s="418"/>
      <c r="W68" s="418"/>
      <c r="X68" s="418"/>
      <c r="Y68" s="418"/>
      <c r="Z68" s="419"/>
      <c r="AA68" s="28"/>
      <c r="AY68" s="16"/>
      <c r="AZ68" s="16"/>
      <c r="BM68" s="10"/>
    </row>
    <row r="69" spans="1:65" x14ac:dyDescent="0.25">
      <c r="A69" s="413"/>
      <c r="B69" s="414"/>
      <c r="C69" s="5"/>
      <c r="D69" s="20"/>
      <c r="E69" s="11" t="s">
        <v>30</v>
      </c>
      <c r="F69" s="12" t="s">
        <v>13</v>
      </c>
      <c r="G69" s="111">
        <v>8</v>
      </c>
      <c r="H69" s="6">
        <f t="shared" ref="H69:Z69" si="47">IMPOWER(H3,-0.25)*6.66626</f>
        <v>5.60563413714923</v>
      </c>
      <c r="I69" s="6">
        <f t="shared" si="47"/>
        <v>5.0652622378317815</v>
      </c>
      <c r="J69" s="6">
        <f t="shared" si="47"/>
        <v>4.7137576511526378</v>
      </c>
      <c r="K69" s="38">
        <f t="shared" si="47"/>
        <v>4.4579967454521228</v>
      </c>
      <c r="L69" s="6">
        <f t="shared" si="47"/>
        <v>4.2593608581127533</v>
      </c>
      <c r="M69" s="6">
        <f t="shared" si="47"/>
        <v>4.0983376724928933</v>
      </c>
      <c r="N69" s="6">
        <f t="shared" si="47"/>
        <v>3.9637819112290225</v>
      </c>
      <c r="O69" s="6">
        <f t="shared" si="47"/>
        <v>3.8487670054880363</v>
      </c>
      <c r="P69" s="38">
        <f t="shared" si="47"/>
        <v>3.7487134824634158</v>
      </c>
      <c r="Q69" s="6">
        <f t="shared" si="47"/>
        <v>3.6604466109761247</v>
      </c>
      <c r="R69" s="6">
        <f t="shared" si="47"/>
        <v>3.5816812768590025</v>
      </c>
      <c r="S69" s="6">
        <f t="shared" si="47"/>
        <v>3.5107217518951219</v>
      </c>
      <c r="T69" s="6">
        <f t="shared" si="47"/>
        <v>3.4462774572985313</v>
      </c>
      <c r="U69" s="38">
        <f t="shared" si="47"/>
        <v>3.3873450137131838</v>
      </c>
      <c r="V69" s="6">
        <f t="shared" si="47"/>
        <v>3.3331300000000001</v>
      </c>
      <c r="W69" s="6">
        <f t="shared" si="47"/>
        <v>3.2829934618850745</v>
      </c>
      <c r="X69" s="6">
        <f t="shared" si="47"/>
        <v>3.2364143780616592</v>
      </c>
      <c r="Y69" s="6">
        <f t="shared" si="47"/>
        <v>3.1929627203494864</v>
      </c>
      <c r="Z69" s="48">
        <f t="shared" si="47"/>
        <v>3.1522797292167564</v>
      </c>
      <c r="AA69" s="28"/>
      <c r="AB69" s="75" t="s">
        <v>232</v>
      </c>
      <c r="AY69" s="15"/>
      <c r="AZ69" s="15"/>
    </row>
    <row r="70" spans="1:65" x14ac:dyDescent="0.25">
      <c r="A70" s="413"/>
      <c r="B70" s="414"/>
      <c r="C70" s="5"/>
      <c r="D70" s="20"/>
      <c r="E70" s="27" t="s">
        <v>38</v>
      </c>
      <c r="F70" s="31" t="s">
        <v>15</v>
      </c>
      <c r="G70" s="112">
        <f t="shared" ref="G70:Z70" si="48">G69/100*G13</f>
        <v>644.47469091764708</v>
      </c>
      <c r="H70" s="3">
        <f t="shared" si="48"/>
        <v>774.40874112490462</v>
      </c>
      <c r="I70" s="3">
        <f t="shared" si="48"/>
        <v>945.68209674008801</v>
      </c>
      <c r="J70" s="3">
        <f t="shared" si="48"/>
        <v>1089.8025264018324</v>
      </c>
      <c r="K70" s="36">
        <f t="shared" si="48"/>
        <v>1204.0197438350369</v>
      </c>
      <c r="L70" s="3">
        <f t="shared" si="48"/>
        <v>1218.3891127274796</v>
      </c>
      <c r="M70" s="3">
        <f t="shared" si="48"/>
        <v>1259.4786252538702</v>
      </c>
      <c r="N70" s="3">
        <f t="shared" si="48"/>
        <v>1296.0700229636946</v>
      </c>
      <c r="O70" s="3">
        <f t="shared" si="48"/>
        <v>1313.3010593605268</v>
      </c>
      <c r="P70" s="36">
        <f t="shared" si="48"/>
        <v>1276.5311070992445</v>
      </c>
      <c r="Q70" s="3">
        <f t="shared" si="48"/>
        <v>1206.3673180094656</v>
      </c>
      <c r="R70" s="3">
        <f t="shared" si="48"/>
        <v>1121.8177855350586</v>
      </c>
      <c r="S70" s="3">
        <f t="shared" si="48"/>
        <v>1080.8485022319539</v>
      </c>
      <c r="T70" s="3">
        <f t="shared" si="48"/>
        <v>1038.8813485639516</v>
      </c>
      <c r="U70" s="36">
        <f t="shared" si="48"/>
        <v>995.79169334760434</v>
      </c>
      <c r="V70" s="3">
        <f t="shared" si="48"/>
        <v>951.48154458313718</v>
      </c>
      <c r="W70" s="3">
        <f t="shared" si="48"/>
        <v>805.65680607996774</v>
      </c>
      <c r="X70" s="3">
        <f t="shared" si="48"/>
        <v>698.47056310291498</v>
      </c>
      <c r="Y70" s="3">
        <f t="shared" si="48"/>
        <v>629.85650489292823</v>
      </c>
      <c r="Z70" s="47">
        <f t="shared" si="48"/>
        <v>581.68637058235072</v>
      </c>
      <c r="AA70" s="9"/>
      <c r="AB70" s="75" t="s">
        <v>93</v>
      </c>
      <c r="AY70" s="15"/>
      <c r="AZ70" s="15"/>
    </row>
    <row r="71" spans="1:65" ht="15" customHeight="1" x14ac:dyDescent="0.25">
      <c r="A71" s="413"/>
      <c r="B71" s="414"/>
      <c r="C71" s="4"/>
      <c r="D71" s="20"/>
      <c r="E71" s="417" t="s">
        <v>10</v>
      </c>
      <c r="F71" s="418"/>
      <c r="G71" s="418"/>
      <c r="H71" s="418"/>
      <c r="I71" s="418"/>
      <c r="J71" s="418"/>
      <c r="K71" s="418"/>
      <c r="L71" s="418"/>
      <c r="M71" s="418"/>
      <c r="N71" s="418"/>
      <c r="O71" s="418"/>
      <c r="P71" s="418"/>
      <c r="Q71" s="418"/>
      <c r="R71" s="418"/>
      <c r="S71" s="418"/>
      <c r="T71" s="418"/>
      <c r="U71" s="418"/>
      <c r="V71" s="418"/>
      <c r="W71" s="418"/>
      <c r="X71" s="418"/>
      <c r="Y71" s="418"/>
      <c r="Z71" s="419"/>
      <c r="AA71" s="9"/>
      <c r="AY71" s="15"/>
      <c r="AZ71" s="15"/>
    </row>
    <row r="72" spans="1:65" x14ac:dyDescent="0.25">
      <c r="A72" s="413"/>
      <c r="B72" s="414"/>
      <c r="C72" s="4">
        <v>6.3540000000000001</v>
      </c>
      <c r="D72" s="20" t="s">
        <v>13</v>
      </c>
      <c r="E72" s="343" t="s">
        <v>10</v>
      </c>
      <c r="F72" s="12" t="s">
        <v>13</v>
      </c>
      <c r="G72" s="42">
        <f t="shared" ref="G72:Z72" si="49">$C$72</f>
        <v>6.3540000000000001</v>
      </c>
      <c r="H72" s="32">
        <f t="shared" si="49"/>
        <v>6.3540000000000001</v>
      </c>
      <c r="I72" s="32">
        <f t="shared" si="49"/>
        <v>6.3540000000000001</v>
      </c>
      <c r="J72" s="32">
        <f t="shared" si="49"/>
        <v>6.3540000000000001</v>
      </c>
      <c r="K72" s="42">
        <f t="shared" si="49"/>
        <v>6.3540000000000001</v>
      </c>
      <c r="L72" s="32">
        <f t="shared" si="49"/>
        <v>6.3540000000000001</v>
      </c>
      <c r="M72" s="32">
        <f t="shared" si="49"/>
        <v>6.3540000000000001</v>
      </c>
      <c r="N72" s="32">
        <f t="shared" si="49"/>
        <v>6.3540000000000001</v>
      </c>
      <c r="O72" s="32">
        <f t="shared" si="49"/>
        <v>6.3540000000000001</v>
      </c>
      <c r="P72" s="42">
        <f t="shared" si="49"/>
        <v>6.3540000000000001</v>
      </c>
      <c r="Q72" s="32">
        <f t="shared" si="49"/>
        <v>6.3540000000000001</v>
      </c>
      <c r="R72" s="32">
        <f t="shared" si="49"/>
        <v>6.3540000000000001</v>
      </c>
      <c r="S72" s="32">
        <f t="shared" si="49"/>
        <v>6.3540000000000001</v>
      </c>
      <c r="T72" s="32">
        <f t="shared" si="49"/>
        <v>6.3540000000000001</v>
      </c>
      <c r="U72" s="42">
        <f t="shared" si="49"/>
        <v>6.3540000000000001</v>
      </c>
      <c r="V72" s="32">
        <f t="shared" si="49"/>
        <v>6.3540000000000001</v>
      </c>
      <c r="W72" s="32">
        <f t="shared" si="49"/>
        <v>6.3540000000000001</v>
      </c>
      <c r="X72" s="32">
        <f t="shared" si="49"/>
        <v>6.3540000000000001</v>
      </c>
      <c r="Y72" s="32">
        <f t="shared" si="49"/>
        <v>6.3540000000000001</v>
      </c>
      <c r="Z72" s="86">
        <f t="shared" si="49"/>
        <v>6.3540000000000001</v>
      </c>
      <c r="AA72" s="9"/>
      <c r="AB72" s="75" t="s">
        <v>94</v>
      </c>
    </row>
    <row r="73" spans="1:65" x14ac:dyDescent="0.25">
      <c r="A73" s="413"/>
      <c r="B73" s="414"/>
      <c r="C73" s="210">
        <v>0.4</v>
      </c>
      <c r="D73" s="8"/>
      <c r="E73" s="90" t="s">
        <v>23</v>
      </c>
      <c r="F73" s="12" t="s">
        <v>15</v>
      </c>
      <c r="G73" s="76">
        <f t="shared" ref="G73:O73" si="50">IF(G13*G15&lt;10000,0,G72*$C$73/100*(G13*G15-10000))</f>
        <v>0</v>
      </c>
      <c r="H73" s="209">
        <f t="shared" si="50"/>
        <v>0</v>
      </c>
      <c r="I73" s="2">
        <f t="shared" si="50"/>
        <v>0</v>
      </c>
      <c r="J73" s="2">
        <f t="shared" si="50"/>
        <v>39.644041922435058</v>
      </c>
      <c r="K73" s="35">
        <f t="shared" si="50"/>
        <v>89.058799346698066</v>
      </c>
      <c r="L73" s="2">
        <f t="shared" si="50"/>
        <v>109.35202352460885</v>
      </c>
      <c r="M73" s="2">
        <f t="shared" si="50"/>
        <v>136.37527670867968</v>
      </c>
      <c r="N73" s="2">
        <f t="shared" si="50"/>
        <v>161.3638159083215</v>
      </c>
      <c r="O73" s="2">
        <f t="shared" si="50"/>
        <v>179.47055852837477</v>
      </c>
      <c r="P73" s="76">
        <f t="shared" ref="P73:Z73" si="51">P72*$C$73/100*(P13*P15)</f>
        <v>432.73932203420986</v>
      </c>
      <c r="Q73" s="77">
        <f t="shared" si="51"/>
        <v>418.81544812850393</v>
      </c>
      <c r="R73" s="77">
        <f t="shared" si="51"/>
        <v>398.027052565703</v>
      </c>
      <c r="S73" s="77">
        <f t="shared" si="51"/>
        <v>391.24213586420393</v>
      </c>
      <c r="T73" s="77">
        <f t="shared" si="51"/>
        <v>383.08303208702085</v>
      </c>
      <c r="U73" s="76">
        <f t="shared" si="51"/>
        <v>373.58228311055808</v>
      </c>
      <c r="V73" s="77">
        <f t="shared" si="51"/>
        <v>362.76495271899114</v>
      </c>
      <c r="W73" s="77">
        <f t="shared" si="51"/>
        <v>311.85827235200986</v>
      </c>
      <c r="X73" s="77">
        <f t="shared" si="51"/>
        <v>274.25919177963618</v>
      </c>
      <c r="Y73" s="77">
        <f t="shared" si="51"/>
        <v>250.68305411668666</v>
      </c>
      <c r="Z73" s="78">
        <f t="shared" si="51"/>
        <v>234.49918891548415</v>
      </c>
      <c r="AA73" s="9"/>
    </row>
    <row r="74" spans="1:65" x14ac:dyDescent="0.25">
      <c r="A74" s="415"/>
      <c r="B74" s="416"/>
      <c r="C74" s="21"/>
      <c r="D74" s="85"/>
      <c r="E74" s="27" t="s">
        <v>32</v>
      </c>
      <c r="F74" s="31" t="s">
        <v>13</v>
      </c>
      <c r="G74" s="87">
        <f>G73*100/G13</f>
        <v>0</v>
      </c>
      <c r="H74" s="88">
        <f t="shared" ref="H74:Z74" si="52">+H73/H13*100</f>
        <v>0</v>
      </c>
      <c r="I74" s="88">
        <f t="shared" si="52"/>
        <v>0</v>
      </c>
      <c r="J74" s="88">
        <f t="shared" si="52"/>
        <v>0.17147363986343936</v>
      </c>
      <c r="K74" s="87">
        <f t="shared" si="52"/>
        <v>0.32974861058079952</v>
      </c>
      <c r="L74" s="88">
        <f t="shared" si="52"/>
        <v>0.38228323274612508</v>
      </c>
      <c r="M74" s="88">
        <f t="shared" si="52"/>
        <v>0.44376452519721488</v>
      </c>
      <c r="N74" s="88">
        <f t="shared" si="52"/>
        <v>0.49350032273851269</v>
      </c>
      <c r="O74" s="88">
        <f t="shared" si="52"/>
        <v>0.52595736460979781</v>
      </c>
      <c r="P74" s="87">
        <f t="shared" si="52"/>
        <v>1.2708000000000002</v>
      </c>
      <c r="Q74" s="88">
        <f t="shared" si="52"/>
        <v>1.2708000000000002</v>
      </c>
      <c r="R74" s="88">
        <f t="shared" si="52"/>
        <v>1.2708000000000002</v>
      </c>
      <c r="S74" s="88">
        <f t="shared" si="52"/>
        <v>1.2708000000000002</v>
      </c>
      <c r="T74" s="88">
        <f t="shared" si="52"/>
        <v>1.2708000000000002</v>
      </c>
      <c r="U74" s="87">
        <f t="shared" si="52"/>
        <v>1.2708000000000002</v>
      </c>
      <c r="V74" s="88">
        <f t="shared" si="52"/>
        <v>1.2708000000000002</v>
      </c>
      <c r="W74" s="88">
        <f t="shared" si="52"/>
        <v>1.2708000000000004</v>
      </c>
      <c r="X74" s="88">
        <f t="shared" si="52"/>
        <v>1.2708000000000002</v>
      </c>
      <c r="Y74" s="88">
        <f t="shared" si="52"/>
        <v>1.2708000000000002</v>
      </c>
      <c r="Z74" s="50">
        <f t="shared" si="52"/>
        <v>1.2708000000000002</v>
      </c>
      <c r="AA74" s="28"/>
    </row>
    <row r="75" spans="1:65" x14ac:dyDescent="0.25">
      <c r="A75" s="101"/>
      <c r="B75" s="201"/>
      <c r="C75" s="82"/>
      <c r="D75" s="82"/>
      <c r="E75" s="30"/>
      <c r="F75" s="80"/>
      <c r="G75" s="34"/>
      <c r="H75" s="105"/>
      <c r="I75" s="105"/>
      <c r="J75" s="105"/>
      <c r="K75" s="40"/>
      <c r="L75" s="105"/>
      <c r="M75" s="105"/>
      <c r="N75" s="105"/>
      <c r="O75" s="105"/>
      <c r="P75" s="40"/>
      <c r="Q75" s="105"/>
      <c r="R75" s="105"/>
      <c r="S75" s="105"/>
      <c r="T75" s="105"/>
      <c r="U75" s="40"/>
      <c r="V75" s="105"/>
      <c r="W75" s="105"/>
      <c r="X75" s="105"/>
      <c r="Y75" s="105"/>
      <c r="Z75" s="106"/>
      <c r="AA75" s="28"/>
    </row>
    <row r="76" spans="1:65" x14ac:dyDescent="0.25">
      <c r="A76" s="101"/>
      <c r="B76" s="202"/>
      <c r="C76" s="95"/>
      <c r="D76" s="95"/>
      <c r="E76" s="30"/>
      <c r="F76" s="80"/>
      <c r="G76" s="34"/>
      <c r="H76" s="105"/>
      <c r="I76" s="105"/>
      <c r="J76" s="105"/>
      <c r="K76" s="40"/>
      <c r="L76" s="105"/>
      <c r="M76" s="105"/>
      <c r="N76" s="105"/>
      <c r="O76" s="105"/>
      <c r="P76" s="40"/>
      <c r="Q76" s="105"/>
      <c r="R76" s="105"/>
      <c r="S76" s="105"/>
      <c r="T76" s="105"/>
      <c r="U76" s="40"/>
      <c r="V76" s="105"/>
      <c r="W76" s="105"/>
      <c r="X76" s="105"/>
      <c r="Y76" s="105"/>
      <c r="Z76" s="40"/>
      <c r="AA76" s="28"/>
    </row>
    <row r="77" spans="1:65" s="28" customFormat="1" ht="15" customHeight="1" x14ac:dyDescent="0.25">
      <c r="A77" s="408" t="s">
        <v>152</v>
      </c>
      <c r="B77" s="420" t="s">
        <v>99</v>
      </c>
      <c r="C77" s="99"/>
      <c r="D77" s="98"/>
      <c r="E77" s="417" t="s">
        <v>117</v>
      </c>
      <c r="F77" s="418"/>
      <c r="G77" s="418"/>
      <c r="H77" s="418"/>
      <c r="I77" s="418"/>
      <c r="J77" s="418"/>
      <c r="K77" s="418"/>
      <c r="L77" s="418"/>
      <c r="M77" s="418"/>
      <c r="N77" s="418"/>
      <c r="O77" s="418"/>
      <c r="P77" s="418"/>
      <c r="Q77" s="418"/>
      <c r="R77" s="418"/>
      <c r="S77" s="418"/>
      <c r="T77" s="418"/>
      <c r="U77" s="418"/>
      <c r="V77" s="418"/>
      <c r="W77" s="418"/>
      <c r="X77" s="418"/>
      <c r="Y77" s="418"/>
      <c r="Z77" s="419"/>
      <c r="AB77" s="81"/>
      <c r="AC77" s="33"/>
      <c r="AD77" s="33"/>
      <c r="AE77" s="33"/>
      <c r="AF77" s="33"/>
      <c r="AG77" s="33"/>
      <c r="AH77" s="33"/>
      <c r="AI77" s="33"/>
      <c r="AJ77" s="33"/>
      <c r="AK77" s="33"/>
      <c r="AL77" s="33"/>
      <c r="AM77" s="33"/>
      <c r="AN77" s="33"/>
    </row>
    <row r="78" spans="1:65" s="28" customFormat="1" ht="15" customHeight="1" x14ac:dyDescent="0.25">
      <c r="A78" s="409"/>
      <c r="B78" s="421"/>
      <c r="C78" s="5"/>
      <c r="D78" s="20"/>
      <c r="E78" s="11" t="s">
        <v>103</v>
      </c>
      <c r="F78" s="12" t="s">
        <v>13</v>
      </c>
      <c r="G78" s="42">
        <f t="shared" ref="G78:Z78" si="53">G30</f>
        <v>2.9791705198945411</v>
      </c>
      <c r="H78" s="42">
        <f t="shared" si="53"/>
        <v>3.4745273948265591</v>
      </c>
      <c r="I78" s="42">
        <f t="shared" si="53"/>
        <v>3.8564638410842456</v>
      </c>
      <c r="J78" s="42">
        <f t="shared" si="53"/>
        <v>4.1523186407424388</v>
      </c>
      <c r="K78" s="42">
        <f t="shared" si="53"/>
        <v>4.4431132644910321</v>
      </c>
      <c r="L78" s="42">
        <f t="shared" si="53"/>
        <v>5.0340893328831449</v>
      </c>
      <c r="M78" s="42">
        <f t="shared" si="53"/>
        <v>5.4667122980354073</v>
      </c>
      <c r="N78" s="42">
        <f t="shared" si="53"/>
        <v>5.8719522361585454</v>
      </c>
      <c r="O78" s="42">
        <f t="shared" si="53"/>
        <v>6.3301073829195662</v>
      </c>
      <c r="P78" s="42">
        <f t="shared" si="53"/>
        <v>7.0479382036811797</v>
      </c>
      <c r="Q78" s="42">
        <f t="shared" si="53"/>
        <v>8.0104781592741592</v>
      </c>
      <c r="R78" s="42">
        <f t="shared" si="53"/>
        <v>9.1951136899064263</v>
      </c>
      <c r="S78" s="42">
        <f t="shared" si="53"/>
        <v>10.13412318497355</v>
      </c>
      <c r="T78" s="42">
        <f t="shared" si="53"/>
        <v>11.146116226390461</v>
      </c>
      <c r="U78" s="42">
        <f t="shared" si="53"/>
        <v>12.245976875316941</v>
      </c>
      <c r="V78" s="42">
        <f t="shared" si="53"/>
        <v>13.451883825668515</v>
      </c>
      <c r="W78" s="42">
        <f t="shared" si="53"/>
        <v>16.625706160994788</v>
      </c>
      <c r="X78" s="42">
        <f t="shared" si="53"/>
        <v>20.017035580018156</v>
      </c>
      <c r="Y78" s="42">
        <f t="shared" si="53"/>
        <v>23.116233446328785</v>
      </c>
      <c r="Z78" s="86">
        <f t="shared" si="53"/>
        <v>26.012200844747674</v>
      </c>
      <c r="AB78" s="81"/>
      <c r="AC78" s="33"/>
      <c r="AD78" s="33"/>
      <c r="AE78" s="33"/>
      <c r="AF78" s="33"/>
      <c r="AG78" s="33"/>
      <c r="AH78" s="33"/>
      <c r="AI78" s="33"/>
      <c r="AJ78" s="33"/>
      <c r="AK78" s="33"/>
      <c r="AL78" s="33"/>
      <c r="AM78" s="33"/>
      <c r="AN78" s="33"/>
    </row>
    <row r="79" spans="1:65" s="28" customFormat="1" ht="15" customHeight="1" x14ac:dyDescent="0.25">
      <c r="A79" s="409"/>
      <c r="B79" s="421"/>
      <c r="C79" s="5"/>
      <c r="D79" s="20"/>
      <c r="E79" s="11" t="s">
        <v>104</v>
      </c>
      <c r="F79" s="12" t="s">
        <v>13</v>
      </c>
      <c r="G79" s="42">
        <f t="shared" ref="G79:Z79" si="54">G33</f>
        <v>2.291666666666667</v>
      </c>
      <c r="H79" s="42">
        <f t="shared" si="54"/>
        <v>2.2680412371134024</v>
      </c>
      <c r="I79" s="42">
        <f t="shared" si="54"/>
        <v>2.2412827439254324</v>
      </c>
      <c r="J79" s="42">
        <f t="shared" si="54"/>
        <v>2.1727175075084757</v>
      </c>
      <c r="K79" s="42">
        <f t="shared" si="54"/>
        <v>2.1209819981999258</v>
      </c>
      <c r="L79" s="42">
        <f t="shared" si="54"/>
        <v>2.0796268113611864</v>
      </c>
      <c r="M79" s="42">
        <f t="shared" si="54"/>
        <v>2.0452912227730469</v>
      </c>
      <c r="N79" s="42">
        <f t="shared" si="54"/>
        <v>2.0160069470819098</v>
      </c>
      <c r="O79" s="42">
        <f t="shared" si="54"/>
        <v>1.9905246124203864</v>
      </c>
      <c r="P79" s="42">
        <f t="shared" si="54"/>
        <v>1.9680029402027726</v>
      </c>
      <c r="Q79" s="42">
        <f t="shared" si="54"/>
        <v>1.9034955641066731</v>
      </c>
      <c r="R79" s="42">
        <f t="shared" si="54"/>
        <v>1.8864794974827612</v>
      </c>
      <c r="S79" s="42">
        <f t="shared" si="54"/>
        <v>1.8709605927032056</v>
      </c>
      <c r="T79" s="42">
        <f t="shared" si="54"/>
        <v>1.8567061712262196</v>
      </c>
      <c r="U79" s="42">
        <f t="shared" si="54"/>
        <v>1.8435332554855153</v>
      </c>
      <c r="V79" s="42">
        <f t="shared" si="54"/>
        <v>1.8312954314665357</v>
      </c>
      <c r="W79" s="42">
        <f t="shared" si="54"/>
        <v>1.8198737699189838</v>
      </c>
      <c r="X79" s="42">
        <f t="shared" si="54"/>
        <v>1.809170391899404</v>
      </c>
      <c r="Y79" s="42">
        <f t="shared" si="54"/>
        <v>1.7991038070655041</v>
      </c>
      <c r="Z79" s="86">
        <f t="shared" si="54"/>
        <v>1.7896054704183741</v>
      </c>
      <c r="AB79" s="81"/>
      <c r="AC79" s="33"/>
      <c r="AD79" s="33"/>
      <c r="AE79" s="33"/>
      <c r="AF79" s="33"/>
      <c r="AG79" s="33"/>
      <c r="AH79" s="33"/>
      <c r="AI79" s="33"/>
      <c r="AJ79" s="33"/>
      <c r="AK79" s="33"/>
      <c r="AL79" s="33"/>
      <c r="AM79" s="33"/>
      <c r="AN79" s="33"/>
    </row>
    <row r="80" spans="1:65" s="28" customFormat="1" ht="15" customHeight="1" x14ac:dyDescent="0.25">
      <c r="A80" s="409"/>
      <c r="B80" s="421"/>
      <c r="C80" s="5"/>
      <c r="D80" s="20"/>
      <c r="E80" s="90" t="s">
        <v>111</v>
      </c>
      <c r="F80" s="12" t="s">
        <v>13</v>
      </c>
      <c r="G80" s="42">
        <f t="shared" ref="G80:Z80" si="55">G38</f>
        <v>1.4175</v>
      </c>
      <c r="H80" s="42">
        <f t="shared" si="55"/>
        <v>1.4175</v>
      </c>
      <c r="I80" s="42">
        <f t="shared" si="55"/>
        <v>1.4175</v>
      </c>
      <c r="J80" s="42">
        <f t="shared" si="55"/>
        <v>1.4175</v>
      </c>
      <c r="K80" s="42">
        <f t="shared" si="55"/>
        <v>1.4175</v>
      </c>
      <c r="L80" s="42">
        <f t="shared" si="55"/>
        <v>1.4175</v>
      </c>
      <c r="M80" s="42">
        <f t="shared" si="55"/>
        <v>1.4175</v>
      </c>
      <c r="N80" s="42">
        <f t="shared" si="55"/>
        <v>1.4175</v>
      </c>
      <c r="O80" s="42">
        <f t="shared" si="55"/>
        <v>1.4175</v>
      </c>
      <c r="P80" s="42">
        <f t="shared" si="55"/>
        <v>1.4175</v>
      </c>
      <c r="Q80" s="42">
        <f t="shared" si="55"/>
        <v>1.4175</v>
      </c>
      <c r="R80" s="42">
        <f t="shared" si="55"/>
        <v>1.4175000000000002</v>
      </c>
      <c r="S80" s="42">
        <f t="shared" si="55"/>
        <v>1.4175</v>
      </c>
      <c r="T80" s="42">
        <f t="shared" si="55"/>
        <v>1.4175</v>
      </c>
      <c r="U80" s="42">
        <f t="shared" si="55"/>
        <v>1.4175</v>
      </c>
      <c r="V80" s="42">
        <f t="shared" si="55"/>
        <v>1.4175</v>
      </c>
      <c r="W80" s="42">
        <f t="shared" si="55"/>
        <v>1.4175</v>
      </c>
      <c r="X80" s="42">
        <f t="shared" si="55"/>
        <v>1.4175</v>
      </c>
      <c r="Y80" s="42">
        <f t="shared" si="55"/>
        <v>1.4175</v>
      </c>
      <c r="Z80" s="86">
        <f t="shared" si="55"/>
        <v>1.4175000000000002</v>
      </c>
      <c r="AB80" s="81"/>
      <c r="AC80" s="33"/>
      <c r="AD80" s="33"/>
      <c r="AE80" s="33"/>
      <c r="AF80" s="33"/>
      <c r="AG80" s="33"/>
      <c r="AH80" s="33"/>
      <c r="AI80" s="33"/>
      <c r="AJ80" s="33"/>
      <c r="AK80" s="33"/>
      <c r="AL80" s="33"/>
      <c r="AM80" s="33"/>
      <c r="AN80" s="33"/>
    </row>
    <row r="81" spans="1:40" s="28" customFormat="1" ht="15" customHeight="1" x14ac:dyDescent="0.25">
      <c r="A81" s="409"/>
      <c r="B81" s="421"/>
      <c r="C81" s="5"/>
      <c r="D81" s="20"/>
      <c r="E81" s="90" t="s">
        <v>115</v>
      </c>
      <c r="F81" s="12" t="s">
        <v>13</v>
      </c>
      <c r="G81" s="42">
        <f t="shared" ref="G81:Z81" si="56">G43</f>
        <v>14.5</v>
      </c>
      <c r="H81" s="42">
        <f t="shared" si="56"/>
        <v>14.499999999999998</v>
      </c>
      <c r="I81" s="42">
        <f t="shared" si="56"/>
        <v>14.499999999999998</v>
      </c>
      <c r="J81" s="42">
        <f t="shared" si="56"/>
        <v>14.499999999999996</v>
      </c>
      <c r="K81" s="42">
        <f t="shared" si="56"/>
        <v>14.5</v>
      </c>
      <c r="L81" s="42">
        <f t="shared" si="56"/>
        <v>14.499999999999996</v>
      </c>
      <c r="M81" s="42">
        <f t="shared" si="56"/>
        <v>14.5</v>
      </c>
      <c r="N81" s="42">
        <f t="shared" si="56"/>
        <v>14.5</v>
      </c>
      <c r="O81" s="42">
        <f t="shared" si="56"/>
        <v>14.499999999999998</v>
      </c>
      <c r="P81" s="42">
        <f t="shared" si="56"/>
        <v>14.499999999999998</v>
      </c>
      <c r="Q81" s="42">
        <f t="shared" si="56"/>
        <v>14.5</v>
      </c>
      <c r="R81" s="42">
        <f t="shared" si="56"/>
        <v>14.5</v>
      </c>
      <c r="S81" s="42">
        <f t="shared" si="56"/>
        <v>14.499999999999998</v>
      </c>
      <c r="T81" s="42">
        <f t="shared" si="56"/>
        <v>14.499999999999998</v>
      </c>
      <c r="U81" s="42">
        <f t="shared" si="56"/>
        <v>14.499999999999996</v>
      </c>
      <c r="V81" s="42">
        <f t="shared" si="56"/>
        <v>14.5</v>
      </c>
      <c r="W81" s="42">
        <f t="shared" si="56"/>
        <v>14.5</v>
      </c>
      <c r="X81" s="42">
        <f t="shared" si="56"/>
        <v>14.5</v>
      </c>
      <c r="Y81" s="42">
        <f t="shared" si="56"/>
        <v>14.5</v>
      </c>
      <c r="Z81" s="86">
        <f t="shared" si="56"/>
        <v>14.5</v>
      </c>
      <c r="AB81" s="81"/>
      <c r="AC81" s="33"/>
      <c r="AD81" s="33"/>
      <c r="AE81" s="33"/>
      <c r="AF81" s="33"/>
      <c r="AG81" s="33"/>
      <c r="AH81" s="33"/>
      <c r="AI81" s="33"/>
      <c r="AJ81" s="33"/>
      <c r="AK81" s="33"/>
      <c r="AL81" s="33"/>
      <c r="AM81" s="33"/>
      <c r="AN81" s="33"/>
    </row>
    <row r="82" spans="1:40" s="28" customFormat="1" ht="15" customHeight="1" x14ac:dyDescent="0.25">
      <c r="A82" s="409"/>
      <c r="B82" s="421"/>
      <c r="C82" s="5"/>
      <c r="D82" s="20"/>
      <c r="E82" s="11" t="s">
        <v>37</v>
      </c>
      <c r="F82" s="12" t="s">
        <v>13</v>
      </c>
      <c r="G82" s="42">
        <f t="shared" ref="G82:Z82" si="57">G46</f>
        <v>0.49999999999999994</v>
      </c>
      <c r="H82" s="42">
        <f t="shared" si="57"/>
        <v>0.5</v>
      </c>
      <c r="I82" s="42">
        <f t="shared" si="57"/>
        <v>0.5</v>
      </c>
      <c r="J82" s="42">
        <f t="shared" si="57"/>
        <v>0.5</v>
      </c>
      <c r="K82" s="42">
        <f t="shared" si="57"/>
        <v>0.5</v>
      </c>
      <c r="L82" s="42">
        <f t="shared" si="57"/>
        <v>0.5</v>
      </c>
      <c r="M82" s="42">
        <f t="shared" si="57"/>
        <v>0.5</v>
      </c>
      <c r="N82" s="42">
        <f t="shared" si="57"/>
        <v>0.5</v>
      </c>
      <c r="O82" s="42">
        <f t="shared" si="57"/>
        <v>0.5</v>
      </c>
      <c r="P82" s="42">
        <f t="shared" si="57"/>
        <v>0.5</v>
      </c>
      <c r="Q82" s="42">
        <f t="shared" si="57"/>
        <v>0.5</v>
      </c>
      <c r="R82" s="42">
        <f t="shared" si="57"/>
        <v>0.5</v>
      </c>
      <c r="S82" s="42">
        <f t="shared" si="57"/>
        <v>0.5</v>
      </c>
      <c r="T82" s="42">
        <f t="shared" si="57"/>
        <v>0.5</v>
      </c>
      <c r="U82" s="42">
        <f t="shared" si="57"/>
        <v>0.5</v>
      </c>
      <c r="V82" s="42">
        <f t="shared" si="57"/>
        <v>0.5</v>
      </c>
      <c r="W82" s="42">
        <f t="shared" si="57"/>
        <v>0.5</v>
      </c>
      <c r="X82" s="42">
        <f t="shared" si="57"/>
        <v>0.5</v>
      </c>
      <c r="Y82" s="42">
        <f t="shared" si="57"/>
        <v>0.5</v>
      </c>
      <c r="Z82" s="86">
        <f t="shared" si="57"/>
        <v>0.5</v>
      </c>
      <c r="AB82" s="81"/>
      <c r="AC82" s="33"/>
      <c r="AD82" s="33"/>
      <c r="AE82" s="33"/>
      <c r="AF82" s="33"/>
      <c r="AG82" s="33"/>
      <c r="AH82" s="33"/>
      <c r="AI82" s="33"/>
      <c r="AJ82" s="33"/>
      <c r="AK82" s="33"/>
      <c r="AL82" s="33"/>
      <c r="AM82" s="33"/>
      <c r="AN82" s="33"/>
    </row>
    <row r="83" spans="1:40" s="28" customFormat="1" ht="15" customHeight="1" thickBot="1" x14ac:dyDescent="0.3">
      <c r="A83" s="409"/>
      <c r="B83" s="421"/>
      <c r="C83" s="5"/>
      <c r="D83" s="20"/>
      <c r="E83" s="102" t="s">
        <v>31</v>
      </c>
      <c r="F83" s="103" t="s">
        <v>13</v>
      </c>
      <c r="G83" s="197">
        <f t="shared" ref="G83:Z83" si="58">G50</f>
        <v>10.200000000000001</v>
      </c>
      <c r="H83" s="124">
        <f t="shared" si="58"/>
        <v>10.057731958762888</v>
      </c>
      <c r="I83" s="124">
        <f t="shared" si="58"/>
        <v>9.8965971779655142</v>
      </c>
      <c r="J83" s="124">
        <f t="shared" si="58"/>
        <v>9.4837097906692236</v>
      </c>
      <c r="K83" s="124">
        <f t="shared" si="58"/>
        <v>9.1721679600693733</v>
      </c>
      <c r="L83" s="124">
        <f t="shared" si="58"/>
        <v>8.9231345440513632</v>
      </c>
      <c r="M83" s="124">
        <f t="shared" si="58"/>
        <v>8.7163718724078745</v>
      </c>
      <c r="N83" s="124">
        <f t="shared" si="58"/>
        <v>8.5400272886096129</v>
      </c>
      <c r="O83" s="124">
        <f t="shared" si="58"/>
        <v>8.3865773024296697</v>
      </c>
      <c r="P83" s="124">
        <f t="shared" si="58"/>
        <v>8.2509558871846966</v>
      </c>
      <c r="Q83" s="124">
        <f t="shared" si="58"/>
        <v>7.8625041969478211</v>
      </c>
      <c r="R83" s="124">
        <f t="shared" si="58"/>
        <v>7.7600365375689195</v>
      </c>
      <c r="S83" s="124">
        <f t="shared" si="58"/>
        <v>7.6665845146054847</v>
      </c>
      <c r="T83" s="124">
        <f t="shared" si="58"/>
        <v>7.5807469801840712</v>
      </c>
      <c r="U83" s="124">
        <f t="shared" si="58"/>
        <v>7.5014220766691393</v>
      </c>
      <c r="V83" s="124">
        <f t="shared" si="58"/>
        <v>7.4277281254857579</v>
      </c>
      <c r="W83" s="124">
        <f t="shared" si="58"/>
        <v>7.3589489563121351</v>
      </c>
      <c r="X83" s="124">
        <f t="shared" si="58"/>
        <v>7.2944951599469574</v>
      </c>
      <c r="Y83" s="124">
        <f t="shared" si="58"/>
        <v>7.2338760163653646</v>
      </c>
      <c r="Z83" s="125">
        <f t="shared" si="58"/>
        <v>7.1766787600466442</v>
      </c>
      <c r="AB83" s="81"/>
      <c r="AC83" s="33"/>
      <c r="AD83" s="33"/>
      <c r="AE83" s="33"/>
      <c r="AF83" s="33"/>
      <c r="AG83" s="33"/>
      <c r="AH83" s="33"/>
      <c r="AI83" s="33"/>
      <c r="AJ83" s="33"/>
      <c r="AK83" s="33"/>
      <c r="AL83" s="33"/>
      <c r="AM83" s="33"/>
      <c r="AN83" s="33"/>
    </row>
    <row r="84" spans="1:40" s="28" customFormat="1" ht="15" customHeight="1" thickTop="1" x14ac:dyDescent="0.25">
      <c r="A84" s="410"/>
      <c r="B84" s="422"/>
      <c r="C84" s="100"/>
      <c r="D84" s="85"/>
      <c r="E84" s="74" t="s">
        <v>118</v>
      </c>
      <c r="F84" s="31" t="s">
        <v>13</v>
      </c>
      <c r="G84" s="199">
        <f t="shared" ref="G84:Z84" si="59">SUM(G78:G83)</f>
        <v>31.888337186561209</v>
      </c>
      <c r="H84" s="87">
        <f t="shared" si="59"/>
        <v>32.217800590702851</v>
      </c>
      <c r="I84" s="87">
        <f t="shared" si="59"/>
        <v>32.411843762975195</v>
      </c>
      <c r="J84" s="87">
        <f t="shared" si="59"/>
        <v>32.226245938920137</v>
      </c>
      <c r="K84" s="87">
        <f t="shared" si="59"/>
        <v>32.153763222760332</v>
      </c>
      <c r="L84" s="87">
        <f t="shared" si="59"/>
        <v>32.45435068829569</v>
      </c>
      <c r="M84" s="87">
        <f t="shared" si="59"/>
        <v>32.645875393216329</v>
      </c>
      <c r="N84" s="87">
        <f t="shared" si="59"/>
        <v>32.845486471850066</v>
      </c>
      <c r="O84" s="87">
        <f t="shared" si="59"/>
        <v>33.12470929776962</v>
      </c>
      <c r="P84" s="87">
        <f t="shared" si="59"/>
        <v>33.684397031068649</v>
      </c>
      <c r="Q84" s="87">
        <f t="shared" si="59"/>
        <v>34.193977920328649</v>
      </c>
      <c r="R84" s="87">
        <f t="shared" si="59"/>
        <v>35.259129724958107</v>
      </c>
      <c r="S84" s="87">
        <f t="shared" si="59"/>
        <v>36.089168292282238</v>
      </c>
      <c r="T84" s="87">
        <f t="shared" si="59"/>
        <v>37.001069377800754</v>
      </c>
      <c r="U84" s="87">
        <f t="shared" si="59"/>
        <v>38.008432207471593</v>
      </c>
      <c r="V84" s="87">
        <f t="shared" si="59"/>
        <v>39.128407382620807</v>
      </c>
      <c r="W84" s="87">
        <f t="shared" si="59"/>
        <v>42.222028887225903</v>
      </c>
      <c r="X84" s="87">
        <f t="shared" si="59"/>
        <v>45.538201131864518</v>
      </c>
      <c r="Y84" s="87">
        <f t="shared" si="59"/>
        <v>48.566713269759653</v>
      </c>
      <c r="Z84" s="50">
        <f t="shared" si="59"/>
        <v>51.395985075212693</v>
      </c>
      <c r="AB84" s="81"/>
      <c r="AC84" s="33"/>
      <c r="AD84" s="33"/>
      <c r="AE84" s="33"/>
      <c r="AF84" s="33"/>
      <c r="AG84" s="33"/>
      <c r="AH84" s="33"/>
      <c r="AI84" s="33"/>
      <c r="AJ84" s="33"/>
      <c r="AK84" s="33"/>
      <c r="AL84" s="33"/>
      <c r="AM84" s="33"/>
      <c r="AN84" s="33"/>
    </row>
    <row r="85" spans="1:40" s="28" customFormat="1" ht="15" customHeight="1" x14ac:dyDescent="0.25">
      <c r="A85" s="101"/>
      <c r="B85" s="202"/>
      <c r="C85" s="82"/>
      <c r="D85" s="82"/>
      <c r="E85" s="57"/>
      <c r="F85" s="80"/>
      <c r="G85" s="34"/>
      <c r="H85" s="43"/>
      <c r="I85" s="43"/>
      <c r="J85" s="43"/>
      <c r="K85" s="43"/>
      <c r="L85" s="43"/>
      <c r="M85" s="43"/>
      <c r="N85" s="43"/>
      <c r="O85" s="43"/>
      <c r="P85" s="43"/>
      <c r="Q85" s="43"/>
      <c r="R85" s="43"/>
      <c r="S85" s="43"/>
      <c r="T85" s="43"/>
      <c r="U85" s="43"/>
      <c r="V85" s="43"/>
      <c r="W85" s="43"/>
      <c r="X85" s="43"/>
      <c r="Y85" s="43"/>
      <c r="Z85" s="69"/>
      <c r="AB85" s="81"/>
      <c r="AC85" s="33"/>
      <c r="AD85" s="33"/>
      <c r="AE85" s="33"/>
      <c r="AF85" s="33"/>
      <c r="AG85" s="33"/>
      <c r="AH85" s="33"/>
      <c r="AI85" s="33"/>
      <c r="AJ85" s="33"/>
      <c r="AK85" s="33"/>
      <c r="AL85" s="33"/>
      <c r="AM85" s="33"/>
      <c r="AN85" s="33"/>
    </row>
    <row r="86" spans="1:40" s="28" customFormat="1" ht="15" customHeight="1" x14ac:dyDescent="0.25">
      <c r="A86" s="101"/>
      <c r="B86" s="202"/>
      <c r="C86" s="96"/>
      <c r="D86" s="96"/>
      <c r="E86" s="57"/>
      <c r="F86" s="80"/>
      <c r="G86" s="34"/>
      <c r="H86" s="43"/>
      <c r="I86" s="43"/>
      <c r="J86" s="43"/>
      <c r="K86" s="43"/>
      <c r="L86" s="43"/>
      <c r="M86" s="43"/>
      <c r="N86" s="43"/>
      <c r="O86" s="43"/>
      <c r="P86" s="43"/>
      <c r="Q86" s="43"/>
      <c r="R86" s="43"/>
      <c r="S86" s="43"/>
      <c r="T86" s="43"/>
      <c r="U86" s="43"/>
      <c r="V86" s="43"/>
      <c r="W86" s="43"/>
      <c r="X86" s="43"/>
      <c r="Y86" s="43"/>
      <c r="Z86" s="104"/>
      <c r="AB86" s="81"/>
      <c r="AC86" s="33"/>
      <c r="AD86" s="33"/>
      <c r="AE86" s="33"/>
      <c r="AF86" s="33"/>
      <c r="AG86" s="33"/>
      <c r="AH86" s="33"/>
      <c r="AI86" s="33"/>
      <c r="AJ86" s="33"/>
      <c r="AK86" s="33"/>
      <c r="AL86" s="33"/>
      <c r="AM86" s="33"/>
      <c r="AN86" s="33"/>
    </row>
    <row r="87" spans="1:40" s="28" customFormat="1" ht="15" customHeight="1" x14ac:dyDescent="0.25">
      <c r="A87" s="408" t="s">
        <v>152</v>
      </c>
      <c r="B87" s="420" t="s">
        <v>24</v>
      </c>
      <c r="C87" s="99"/>
      <c r="D87" s="98"/>
      <c r="E87" s="417" t="s">
        <v>119</v>
      </c>
      <c r="F87" s="418"/>
      <c r="G87" s="418"/>
      <c r="H87" s="418"/>
      <c r="I87" s="418"/>
      <c r="J87" s="418"/>
      <c r="K87" s="418"/>
      <c r="L87" s="418"/>
      <c r="M87" s="418"/>
      <c r="N87" s="418"/>
      <c r="O87" s="418"/>
      <c r="P87" s="418"/>
      <c r="Q87" s="418"/>
      <c r="R87" s="418"/>
      <c r="S87" s="418"/>
      <c r="T87" s="418"/>
      <c r="U87" s="418"/>
      <c r="V87" s="418"/>
      <c r="W87" s="418"/>
      <c r="X87" s="418"/>
      <c r="Y87" s="418"/>
      <c r="Z87" s="419"/>
      <c r="AB87" s="81"/>
      <c r="AC87" s="33"/>
      <c r="AD87" s="33"/>
      <c r="AE87" s="33"/>
      <c r="AF87" s="33"/>
      <c r="AG87" s="33"/>
      <c r="AH87" s="33"/>
      <c r="AI87" s="33"/>
      <c r="AJ87" s="33"/>
      <c r="AK87" s="33"/>
      <c r="AL87" s="33"/>
      <c r="AM87" s="33"/>
      <c r="AN87" s="33"/>
    </row>
    <row r="88" spans="1:40" s="28" customFormat="1" ht="15" customHeight="1" x14ac:dyDescent="0.25">
      <c r="A88" s="409"/>
      <c r="B88" s="421"/>
      <c r="C88" s="5"/>
      <c r="D88" s="20"/>
      <c r="E88" s="11" t="s">
        <v>45</v>
      </c>
      <c r="F88" s="12" t="s">
        <v>13</v>
      </c>
      <c r="G88" s="42">
        <f t="shared" ref="G88:Z88" si="60">G67</f>
        <v>18.45</v>
      </c>
      <c r="H88" s="42">
        <f t="shared" si="60"/>
        <v>16.494845360824744</v>
      </c>
      <c r="I88" s="42">
        <f t="shared" si="60"/>
        <v>16.300238137639507</v>
      </c>
      <c r="J88" s="42">
        <f t="shared" si="60"/>
        <v>15.801581872788914</v>
      </c>
      <c r="K88" s="42">
        <f t="shared" si="60"/>
        <v>15.425323623272186</v>
      </c>
      <c r="L88" s="42">
        <f t="shared" si="60"/>
        <v>15.124558628081354</v>
      </c>
      <c r="M88" s="42">
        <f t="shared" si="60"/>
        <v>14.874845256531248</v>
      </c>
      <c r="N88" s="42">
        <f t="shared" si="60"/>
        <v>14.661868706050251</v>
      </c>
      <c r="O88" s="42">
        <f t="shared" si="60"/>
        <v>14.476542635784627</v>
      </c>
      <c r="P88" s="42">
        <f t="shared" si="60"/>
        <v>14.312748656020165</v>
      </c>
      <c r="Q88" s="42">
        <f t="shared" si="60"/>
        <v>13.843604102593984</v>
      </c>
      <c r="R88" s="42">
        <f t="shared" si="60"/>
        <v>13.719850890783718</v>
      </c>
      <c r="S88" s="42">
        <f t="shared" si="60"/>
        <v>13.606986128750584</v>
      </c>
      <c r="T88" s="42">
        <f t="shared" si="60"/>
        <v>13.503317608917959</v>
      </c>
      <c r="U88" s="42">
        <f t="shared" si="60"/>
        <v>13.407514585349201</v>
      </c>
      <c r="V88" s="42">
        <f t="shared" si="60"/>
        <v>13.318512228847533</v>
      </c>
      <c r="W88" s="42">
        <f t="shared" si="60"/>
        <v>13.235445599410788</v>
      </c>
      <c r="X88" s="42">
        <f t="shared" si="60"/>
        <v>13.157602850177483</v>
      </c>
      <c r="Y88" s="42">
        <f t="shared" si="60"/>
        <v>13.084391324112758</v>
      </c>
      <c r="Z88" s="86">
        <f t="shared" si="60"/>
        <v>13.015312512133628</v>
      </c>
      <c r="AB88" s="81"/>
      <c r="AC88" s="33"/>
      <c r="AD88" s="33"/>
      <c r="AE88" s="33"/>
      <c r="AF88" s="33"/>
      <c r="AG88" s="33"/>
      <c r="AH88" s="33"/>
      <c r="AI88" s="33"/>
      <c r="AJ88" s="33"/>
      <c r="AK88" s="33"/>
      <c r="AL88" s="33"/>
      <c r="AM88" s="33"/>
      <c r="AN88" s="33"/>
    </row>
    <row r="89" spans="1:40" s="28" customFormat="1" ht="15" customHeight="1" x14ac:dyDescent="0.25">
      <c r="A89" s="409"/>
      <c r="B89" s="421"/>
      <c r="C89" s="5"/>
      <c r="D89" s="20"/>
      <c r="E89" s="11" t="s">
        <v>30</v>
      </c>
      <c r="F89" s="12" t="s">
        <v>13</v>
      </c>
      <c r="G89" s="42">
        <f t="shared" ref="G89:Z89" si="61">G69</f>
        <v>8</v>
      </c>
      <c r="H89" s="42">
        <f t="shared" si="61"/>
        <v>5.60563413714923</v>
      </c>
      <c r="I89" s="42">
        <f t="shared" si="61"/>
        <v>5.0652622378317815</v>
      </c>
      <c r="J89" s="42">
        <f t="shared" si="61"/>
        <v>4.7137576511526378</v>
      </c>
      <c r="K89" s="42">
        <f t="shared" si="61"/>
        <v>4.4579967454521228</v>
      </c>
      <c r="L89" s="42">
        <f t="shared" si="61"/>
        <v>4.2593608581127533</v>
      </c>
      <c r="M89" s="42">
        <f t="shared" si="61"/>
        <v>4.0983376724928933</v>
      </c>
      <c r="N89" s="42">
        <f t="shared" si="61"/>
        <v>3.9637819112290225</v>
      </c>
      <c r="O89" s="42">
        <f t="shared" si="61"/>
        <v>3.8487670054880363</v>
      </c>
      <c r="P89" s="42">
        <f t="shared" si="61"/>
        <v>3.7487134824634158</v>
      </c>
      <c r="Q89" s="42">
        <f t="shared" si="61"/>
        <v>3.6604466109761247</v>
      </c>
      <c r="R89" s="42">
        <f t="shared" si="61"/>
        <v>3.5816812768590025</v>
      </c>
      <c r="S89" s="42">
        <f t="shared" si="61"/>
        <v>3.5107217518951219</v>
      </c>
      <c r="T89" s="42">
        <f t="shared" si="61"/>
        <v>3.4462774572985313</v>
      </c>
      <c r="U89" s="42">
        <f t="shared" si="61"/>
        <v>3.3873450137131838</v>
      </c>
      <c r="V89" s="42">
        <f t="shared" si="61"/>
        <v>3.3331300000000001</v>
      </c>
      <c r="W89" s="42">
        <f t="shared" si="61"/>
        <v>3.2829934618850745</v>
      </c>
      <c r="X89" s="42">
        <f t="shared" si="61"/>
        <v>3.2364143780616592</v>
      </c>
      <c r="Y89" s="42">
        <f t="shared" si="61"/>
        <v>3.1929627203494864</v>
      </c>
      <c r="Z89" s="86">
        <f t="shared" si="61"/>
        <v>3.1522797292167564</v>
      </c>
      <c r="AB89" s="81"/>
      <c r="AC89" s="33"/>
      <c r="AD89" s="33"/>
      <c r="AE89" s="33"/>
      <c r="AF89" s="33"/>
      <c r="AG89" s="33"/>
      <c r="AH89" s="33"/>
      <c r="AI89" s="33"/>
      <c r="AJ89" s="33"/>
      <c r="AK89" s="33"/>
      <c r="AL89" s="33"/>
      <c r="AM89" s="33"/>
      <c r="AN89" s="33"/>
    </row>
    <row r="90" spans="1:40" s="28" customFormat="1" ht="15" customHeight="1" thickBot="1" x14ac:dyDescent="0.3">
      <c r="A90" s="409"/>
      <c r="B90" s="421"/>
      <c r="C90" s="5"/>
      <c r="D90" s="20"/>
      <c r="E90" s="102" t="s">
        <v>32</v>
      </c>
      <c r="F90" s="103" t="s">
        <v>13</v>
      </c>
      <c r="G90" s="197">
        <f>G74</f>
        <v>0</v>
      </c>
      <c r="H90" s="124">
        <f t="shared" ref="H90:Z90" si="62">H74</f>
        <v>0</v>
      </c>
      <c r="I90" s="124">
        <f t="shared" si="62"/>
        <v>0</v>
      </c>
      <c r="J90" s="124">
        <f t="shared" si="62"/>
        <v>0.17147363986343936</v>
      </c>
      <c r="K90" s="124">
        <f t="shared" si="62"/>
        <v>0.32974861058079952</v>
      </c>
      <c r="L90" s="124">
        <f t="shared" si="62"/>
        <v>0.38228323274612508</v>
      </c>
      <c r="M90" s="124">
        <f t="shared" si="62"/>
        <v>0.44376452519721488</v>
      </c>
      <c r="N90" s="124">
        <f t="shared" si="62"/>
        <v>0.49350032273851269</v>
      </c>
      <c r="O90" s="124">
        <f t="shared" si="62"/>
        <v>0.52595736460979781</v>
      </c>
      <c r="P90" s="124">
        <f t="shared" si="62"/>
        <v>1.2708000000000002</v>
      </c>
      <c r="Q90" s="124">
        <f t="shared" si="62"/>
        <v>1.2708000000000002</v>
      </c>
      <c r="R90" s="124">
        <f t="shared" si="62"/>
        <v>1.2708000000000002</v>
      </c>
      <c r="S90" s="124">
        <f t="shared" si="62"/>
        <v>1.2708000000000002</v>
      </c>
      <c r="T90" s="124">
        <f t="shared" si="62"/>
        <v>1.2708000000000002</v>
      </c>
      <c r="U90" s="124">
        <f t="shared" si="62"/>
        <v>1.2708000000000002</v>
      </c>
      <c r="V90" s="124">
        <f t="shared" si="62"/>
        <v>1.2708000000000002</v>
      </c>
      <c r="W90" s="124">
        <f t="shared" si="62"/>
        <v>1.2708000000000004</v>
      </c>
      <c r="X90" s="124">
        <f t="shared" si="62"/>
        <v>1.2708000000000002</v>
      </c>
      <c r="Y90" s="124">
        <f t="shared" si="62"/>
        <v>1.2708000000000002</v>
      </c>
      <c r="Z90" s="125">
        <f t="shared" si="62"/>
        <v>1.2708000000000002</v>
      </c>
      <c r="AB90" s="81"/>
      <c r="AC90" s="33"/>
      <c r="AD90" s="33"/>
      <c r="AE90" s="33"/>
      <c r="AF90" s="33"/>
      <c r="AG90" s="33"/>
      <c r="AH90" s="33"/>
      <c r="AI90" s="33"/>
      <c r="AJ90" s="33"/>
      <c r="AK90" s="33"/>
      <c r="AL90" s="33"/>
      <c r="AM90" s="33"/>
      <c r="AN90" s="33"/>
    </row>
    <row r="91" spans="1:40" s="28" customFormat="1" ht="17.25" customHeight="1" thickTop="1" x14ac:dyDescent="0.25">
      <c r="A91" s="410"/>
      <c r="B91" s="422"/>
      <c r="C91" s="100"/>
      <c r="D91" s="85"/>
      <c r="E91" s="107" t="s">
        <v>120</v>
      </c>
      <c r="F91" s="31" t="s">
        <v>13</v>
      </c>
      <c r="G91" s="199">
        <f t="shared" ref="G91:Z91" si="63">SUM(G88:G90)</f>
        <v>26.45</v>
      </c>
      <c r="H91" s="87">
        <f t="shared" si="63"/>
        <v>22.100479497973975</v>
      </c>
      <c r="I91" s="87">
        <f t="shared" si="63"/>
        <v>21.365500375471289</v>
      </c>
      <c r="J91" s="87">
        <f t="shared" si="63"/>
        <v>20.686813163804992</v>
      </c>
      <c r="K91" s="87">
        <f t="shared" si="63"/>
        <v>20.21306897930511</v>
      </c>
      <c r="L91" s="87">
        <f t="shared" si="63"/>
        <v>19.766202718940235</v>
      </c>
      <c r="M91" s="87">
        <f t="shared" si="63"/>
        <v>19.416947454221354</v>
      </c>
      <c r="N91" s="87">
        <f t="shared" si="63"/>
        <v>19.119150940017786</v>
      </c>
      <c r="O91" s="87">
        <f t="shared" si="63"/>
        <v>18.851267005882463</v>
      </c>
      <c r="P91" s="87">
        <f t="shared" si="63"/>
        <v>19.332262138483582</v>
      </c>
      <c r="Q91" s="87">
        <f t="shared" si="63"/>
        <v>18.77485071357011</v>
      </c>
      <c r="R91" s="87">
        <f t="shared" si="63"/>
        <v>18.57233216764272</v>
      </c>
      <c r="S91" s="87">
        <f t="shared" si="63"/>
        <v>18.388507880645708</v>
      </c>
      <c r="T91" s="87">
        <f t="shared" si="63"/>
        <v>18.22039506621649</v>
      </c>
      <c r="U91" s="87">
        <f t="shared" si="63"/>
        <v>18.065659599062386</v>
      </c>
      <c r="V91" s="87">
        <f t="shared" si="63"/>
        <v>17.922442228847533</v>
      </c>
      <c r="W91" s="87">
        <f t="shared" si="63"/>
        <v>17.789239061295863</v>
      </c>
      <c r="X91" s="87">
        <f t="shared" si="63"/>
        <v>17.664817228239144</v>
      </c>
      <c r="Y91" s="87">
        <f t="shared" si="63"/>
        <v>17.548154044462244</v>
      </c>
      <c r="Z91" s="126">
        <f t="shared" si="63"/>
        <v>17.438392241350385</v>
      </c>
      <c r="AB91" s="81"/>
      <c r="AC91" s="33"/>
      <c r="AD91" s="33"/>
      <c r="AE91" s="33"/>
      <c r="AF91" s="33"/>
      <c r="AG91" s="33"/>
      <c r="AH91" s="33"/>
      <c r="AI91" s="33"/>
      <c r="AJ91" s="33"/>
      <c r="AK91" s="33"/>
      <c r="AL91" s="33"/>
      <c r="AM91" s="33"/>
      <c r="AN91" s="33"/>
    </row>
    <row r="92" spans="1:40" s="28" customFormat="1" ht="15" customHeight="1" x14ac:dyDescent="0.25">
      <c r="A92" s="101"/>
      <c r="B92" s="202"/>
      <c r="C92" s="82"/>
      <c r="D92" s="82"/>
      <c r="E92" s="57"/>
      <c r="F92" s="80"/>
      <c r="G92" s="43"/>
      <c r="H92" s="43"/>
      <c r="I92" s="43"/>
      <c r="J92" s="43"/>
      <c r="K92" s="43"/>
      <c r="L92" s="43"/>
      <c r="M92" s="43"/>
      <c r="N92" s="43"/>
      <c r="O92" s="43"/>
      <c r="P92" s="43"/>
      <c r="Q92" s="43"/>
      <c r="R92" s="43"/>
      <c r="S92" s="43"/>
      <c r="T92" s="43"/>
      <c r="U92" s="43"/>
      <c r="V92" s="43"/>
      <c r="W92" s="43"/>
      <c r="X92" s="43"/>
      <c r="Y92" s="43"/>
      <c r="Z92" s="69"/>
      <c r="AB92" s="81"/>
      <c r="AC92" s="33"/>
      <c r="AD92" s="33"/>
      <c r="AE92" s="33"/>
      <c r="AF92" s="33"/>
      <c r="AG92" s="33"/>
      <c r="AH92" s="33"/>
      <c r="AI92" s="33"/>
      <c r="AJ92" s="33"/>
      <c r="AK92" s="33"/>
      <c r="AL92" s="33"/>
      <c r="AM92" s="33"/>
      <c r="AN92" s="33"/>
    </row>
    <row r="93" spans="1:40" s="28" customFormat="1" ht="15" customHeight="1" x14ac:dyDescent="0.25">
      <c r="A93" s="101"/>
      <c r="B93" s="202"/>
      <c r="C93" s="96"/>
      <c r="D93" s="96"/>
      <c r="E93" s="57"/>
      <c r="F93" s="80"/>
      <c r="G93" s="43"/>
      <c r="H93" s="43"/>
      <c r="I93" s="43"/>
      <c r="J93" s="43"/>
      <c r="K93" s="43"/>
      <c r="L93" s="43"/>
      <c r="M93" s="43"/>
      <c r="N93" s="43"/>
      <c r="O93" s="43"/>
      <c r="P93" s="43"/>
      <c r="Q93" s="43"/>
      <c r="R93" s="43"/>
      <c r="S93" s="43"/>
      <c r="T93" s="43"/>
      <c r="U93" s="43"/>
      <c r="V93" s="43"/>
      <c r="W93" s="43"/>
      <c r="X93" s="43"/>
      <c r="Y93" s="43"/>
      <c r="Z93" s="104"/>
      <c r="AB93" s="81"/>
      <c r="AC93" s="33"/>
      <c r="AD93" s="33"/>
      <c r="AE93" s="33"/>
      <c r="AF93" s="33"/>
      <c r="AG93" s="33"/>
      <c r="AH93" s="33"/>
      <c r="AI93" s="33"/>
      <c r="AJ93" s="33"/>
      <c r="AK93" s="33"/>
      <c r="AL93" s="33"/>
      <c r="AM93" s="33"/>
      <c r="AN93" s="33"/>
    </row>
    <row r="94" spans="1:40" s="28" customFormat="1" ht="15" customHeight="1" x14ac:dyDescent="0.25">
      <c r="A94" s="408" t="s">
        <v>153</v>
      </c>
      <c r="B94" s="420" t="s">
        <v>154</v>
      </c>
      <c r="C94" s="99"/>
      <c r="D94" s="98"/>
      <c r="E94" s="417" t="s">
        <v>26</v>
      </c>
      <c r="F94" s="418"/>
      <c r="G94" s="418"/>
      <c r="H94" s="418"/>
      <c r="I94" s="418"/>
      <c r="J94" s="418"/>
      <c r="K94" s="418"/>
      <c r="L94" s="418"/>
      <c r="M94" s="418"/>
      <c r="N94" s="418"/>
      <c r="O94" s="418"/>
      <c r="P94" s="418"/>
      <c r="Q94" s="418"/>
      <c r="R94" s="418"/>
      <c r="S94" s="418"/>
      <c r="T94" s="418"/>
      <c r="U94" s="418"/>
      <c r="V94" s="418"/>
      <c r="W94" s="418"/>
      <c r="X94" s="418"/>
      <c r="Y94" s="418"/>
      <c r="Z94" s="419"/>
      <c r="AB94" s="81"/>
      <c r="AC94" s="33"/>
      <c r="AD94" s="33"/>
      <c r="AE94" s="33"/>
      <c r="AF94" s="33"/>
      <c r="AG94" s="33"/>
      <c r="AH94" s="33"/>
      <c r="AI94" s="33"/>
      <c r="AJ94" s="33"/>
      <c r="AK94" s="33"/>
      <c r="AL94" s="33"/>
      <c r="AM94" s="33"/>
      <c r="AN94" s="33"/>
    </row>
    <row r="95" spans="1:40" s="28" customFormat="1" ht="15" customHeight="1" x14ac:dyDescent="0.25">
      <c r="A95" s="409"/>
      <c r="B95" s="421"/>
      <c r="C95" s="5"/>
      <c r="D95" s="20"/>
      <c r="E95" s="110" t="s">
        <v>124</v>
      </c>
      <c r="F95" s="58" t="s">
        <v>6</v>
      </c>
      <c r="G95" s="114">
        <f>G57</f>
        <v>14125</v>
      </c>
      <c r="H95" s="35">
        <f t="shared" ref="H95:Z95" si="64">H57</f>
        <v>16360.881480864569</v>
      </c>
      <c r="I95" s="35">
        <f t="shared" si="64"/>
        <v>19632.047199223365</v>
      </c>
      <c r="J95" s="35">
        <f t="shared" si="64"/>
        <v>22262.88045911667</v>
      </c>
      <c r="K95" s="35">
        <f t="shared" si="64"/>
        <v>24742.880053051813</v>
      </c>
      <c r="L95" s="35">
        <f t="shared" si="64"/>
        <v>26942.544287090393</v>
      </c>
      <c r="M95" s="35">
        <f t="shared" si="64"/>
        <v>28363.047346150772</v>
      </c>
      <c r="N95" s="35">
        <f t="shared" si="64"/>
        <v>28838.050000000003</v>
      </c>
      <c r="O95" s="35">
        <f t="shared" si="64"/>
        <v>29313.050000000003</v>
      </c>
      <c r="P95" s="35">
        <f t="shared" si="64"/>
        <v>29847.661066571978</v>
      </c>
      <c r="Q95" s="35">
        <f t="shared" si="64"/>
        <v>31620.471734810868</v>
      </c>
      <c r="R95" s="35">
        <f t="shared" si="64"/>
        <v>33690.743027885837</v>
      </c>
      <c r="S95" s="35">
        <f t="shared" si="64"/>
        <v>35700.800031590137</v>
      </c>
      <c r="T95" s="35">
        <f t="shared" si="64"/>
        <v>37656.831677805763</v>
      </c>
      <c r="U95" s="35">
        <f t="shared" si="64"/>
        <v>39563.997653186147</v>
      </c>
      <c r="V95" s="35">
        <f t="shared" si="64"/>
        <v>41426.656378888081</v>
      </c>
      <c r="W95" s="35">
        <f t="shared" si="64"/>
        <v>43248.53145756117</v>
      </c>
      <c r="X95" s="35">
        <f t="shared" si="64"/>
        <v>45032.835828223106</v>
      </c>
      <c r="Y95" s="35">
        <f t="shared" si="64"/>
        <v>46782.366120473613</v>
      </c>
      <c r="Z95" s="46">
        <f t="shared" si="64"/>
        <v>48499.575548081106</v>
      </c>
      <c r="AB95" s="81"/>
      <c r="AC95" s="33"/>
      <c r="AD95" s="33"/>
      <c r="AE95" s="33"/>
      <c r="AF95" s="33"/>
      <c r="AG95" s="33"/>
      <c r="AH95" s="33"/>
      <c r="AI95" s="33"/>
      <c r="AJ95" s="33"/>
      <c r="AK95" s="33"/>
      <c r="AL95" s="33"/>
      <c r="AM95" s="33"/>
      <c r="AN95" s="33"/>
    </row>
    <row r="96" spans="1:40" s="28" customFormat="1" ht="15" customHeight="1" x14ac:dyDescent="0.25">
      <c r="A96" s="409"/>
      <c r="B96" s="421"/>
      <c r="C96" s="5"/>
      <c r="D96" s="20"/>
      <c r="E96" s="57" t="s">
        <v>125</v>
      </c>
      <c r="F96" s="12" t="s">
        <v>13</v>
      </c>
      <c r="G96" s="42">
        <f t="shared" ref="G96:Z96" si="65">G95/G13*100</f>
        <v>175.3365983062933</v>
      </c>
      <c r="H96" s="42">
        <f t="shared" si="65"/>
        <v>118.4298560599468</v>
      </c>
      <c r="I96" s="42">
        <f t="shared" si="65"/>
        <v>105.15316687536686</v>
      </c>
      <c r="J96" s="42">
        <f t="shared" si="65"/>
        <v>96.294347423969512</v>
      </c>
      <c r="K96" s="42">
        <f t="shared" si="65"/>
        <v>91.612848804520894</v>
      </c>
      <c r="L96" s="42">
        <f t="shared" si="65"/>
        <v>94.188315830814901</v>
      </c>
      <c r="M96" s="42">
        <f t="shared" si="65"/>
        <v>92.293226033906521</v>
      </c>
      <c r="N96" s="42">
        <f t="shared" si="65"/>
        <v>88.195652179141632</v>
      </c>
      <c r="O96" s="42">
        <f t="shared" si="65"/>
        <v>85.904978805967787</v>
      </c>
      <c r="P96" s="42">
        <f t="shared" si="65"/>
        <v>87.651862800674991</v>
      </c>
      <c r="Q96" s="42">
        <f t="shared" si="65"/>
        <v>95.945112961230436</v>
      </c>
      <c r="R96" s="42">
        <f t="shared" si="65"/>
        <v>107.56604598570574</v>
      </c>
      <c r="S96" s="42">
        <f t="shared" si="65"/>
        <v>115.96035426994938</v>
      </c>
      <c r="T96" s="42">
        <f t="shared" si="65"/>
        <v>124.91887577334677</v>
      </c>
      <c r="U96" s="42">
        <f t="shared" si="65"/>
        <v>134.5832778766698</v>
      </c>
      <c r="V96" s="42">
        <f t="shared" si="65"/>
        <v>145.12150231632606</v>
      </c>
      <c r="W96" s="42">
        <f t="shared" si="65"/>
        <v>176.23465095783132</v>
      </c>
      <c r="X96" s="42">
        <f t="shared" si="65"/>
        <v>208.66293450061536</v>
      </c>
      <c r="Y96" s="42">
        <f t="shared" si="65"/>
        <v>237.15616149396729</v>
      </c>
      <c r="Z96" s="86">
        <f t="shared" si="65"/>
        <v>262.82931250868728</v>
      </c>
      <c r="AB96" s="81"/>
      <c r="AC96" s="33"/>
      <c r="AD96" s="33"/>
      <c r="AE96" s="33"/>
      <c r="AF96" s="33"/>
      <c r="AG96" s="33"/>
      <c r="AH96" s="33"/>
      <c r="AI96" s="33"/>
      <c r="AJ96" s="33"/>
      <c r="AK96" s="33"/>
      <c r="AL96" s="33"/>
      <c r="AM96" s="33"/>
      <c r="AN96" s="33"/>
    </row>
    <row r="97" spans="1:42" s="28" customFormat="1" ht="15" customHeight="1" x14ac:dyDescent="0.25">
      <c r="A97" s="409"/>
      <c r="B97" s="421"/>
      <c r="C97" s="5"/>
      <c r="D97" s="20"/>
      <c r="E97" s="23" t="s">
        <v>12</v>
      </c>
      <c r="F97" s="12" t="s">
        <v>15</v>
      </c>
      <c r="G97" s="114">
        <f>G29+G32+G37+G42+G45+G49-G66-G70-G73-G60</f>
        <v>296.85883467687256</v>
      </c>
      <c r="H97" s="114">
        <f t="shared" ref="H97:Z97" si="66">H29+H32+H37+H42+H45+H49-H66-H70-H73-H60</f>
        <v>1234.0817406725771</v>
      </c>
      <c r="I97" s="114">
        <f t="shared" si="66"/>
        <v>1866.0266850776275</v>
      </c>
      <c r="J97" s="114">
        <f t="shared" si="66"/>
        <v>2445.2433946699684</v>
      </c>
      <c r="K97" s="114">
        <f t="shared" si="66"/>
        <v>2977.5245686894459</v>
      </c>
      <c r="L97" s="114">
        <f t="shared" si="66"/>
        <v>3360.0161239531908</v>
      </c>
      <c r="M97" s="114">
        <f t="shared" si="66"/>
        <v>3781.8110068773212</v>
      </c>
      <c r="N97" s="114">
        <f t="shared" si="66"/>
        <v>4199.8311136488264</v>
      </c>
      <c r="O97" s="114">
        <f t="shared" si="66"/>
        <v>4577.3453838161431</v>
      </c>
      <c r="P97" s="114">
        <f t="shared" si="66"/>
        <v>4588.7858406726409</v>
      </c>
      <c r="Q97" s="114">
        <f t="shared" si="66"/>
        <v>4765.4514605311679</v>
      </c>
      <c r="R97" s="114">
        <f t="shared" si="66"/>
        <v>4889.5616037932332</v>
      </c>
      <c r="S97" s="114">
        <f t="shared" si="66"/>
        <v>5092.5074117518016</v>
      </c>
      <c r="T97" s="114">
        <f t="shared" si="66"/>
        <v>5284.8714533828816</v>
      </c>
      <c r="U97" s="114">
        <f t="shared" si="66"/>
        <v>5467.0186027915652</v>
      </c>
      <c r="V97" s="114">
        <f t="shared" si="66"/>
        <v>5639.2280430486517</v>
      </c>
      <c r="W97" s="114">
        <f t="shared" si="66"/>
        <v>5563.3972978372822</v>
      </c>
      <c r="X97" s="114">
        <f t="shared" si="66"/>
        <v>5565.1986653027661</v>
      </c>
      <c r="Y97" s="114">
        <f t="shared" si="66"/>
        <v>5651.0205006593496</v>
      </c>
      <c r="Z97" s="114">
        <f t="shared" si="66"/>
        <v>5781.1578304988607</v>
      </c>
      <c r="AB97" s="81"/>
      <c r="AC97" s="33"/>
      <c r="AD97" s="33"/>
      <c r="AE97" s="33"/>
      <c r="AF97" s="33"/>
      <c r="AG97" s="33"/>
      <c r="AH97" s="33"/>
      <c r="AI97" s="33"/>
      <c r="AJ97" s="33"/>
      <c r="AK97" s="33"/>
      <c r="AL97" s="33"/>
      <c r="AM97" s="33"/>
      <c r="AN97" s="33"/>
    </row>
    <row r="98" spans="1:42" s="28" customFormat="1" ht="15" customHeight="1" thickBot="1" x14ac:dyDescent="0.3">
      <c r="A98" s="409"/>
      <c r="B98" s="421"/>
      <c r="C98" s="5"/>
      <c r="D98" s="20"/>
      <c r="E98" s="119" t="s">
        <v>34</v>
      </c>
      <c r="F98" s="103" t="s">
        <v>13</v>
      </c>
      <c r="G98" s="197">
        <f t="shared" ref="G98:Z98" si="67">G97/G13*100</f>
        <v>3.6849712034982751</v>
      </c>
      <c r="H98" s="124">
        <f t="shared" si="67"/>
        <v>8.9330225321294066</v>
      </c>
      <c r="I98" s="124">
        <f t="shared" si="67"/>
        <v>9.9948117187502348</v>
      </c>
      <c r="J98" s="124">
        <f t="shared" si="67"/>
        <v>10.576489300875448</v>
      </c>
      <c r="K98" s="124">
        <f t="shared" si="67"/>
        <v>11.024565755410013</v>
      </c>
      <c r="L98" s="124">
        <f t="shared" si="67"/>
        <v>11.746264811047311</v>
      </c>
      <c r="M98" s="124">
        <f t="shared" si="67"/>
        <v>12.305995678655904</v>
      </c>
      <c r="N98" s="124">
        <f t="shared" si="67"/>
        <v>12.844379010040866</v>
      </c>
      <c r="O98" s="124">
        <f t="shared" si="67"/>
        <v>13.414392503827482</v>
      </c>
      <c r="P98" s="124">
        <f t="shared" si="67"/>
        <v>13.475616264578319</v>
      </c>
      <c r="Q98" s="124">
        <f t="shared" si="67"/>
        <v>14.459676077146236</v>
      </c>
      <c r="R98" s="124">
        <f t="shared" si="67"/>
        <v>15.611137097458327</v>
      </c>
      <c r="S98" s="124">
        <f t="shared" si="67"/>
        <v>16.541056868937044</v>
      </c>
      <c r="T98" s="124">
        <f t="shared" si="67"/>
        <v>17.531485553850796</v>
      </c>
      <c r="U98" s="124">
        <f t="shared" si="67"/>
        <v>18.596939829642512</v>
      </c>
      <c r="V98" s="124">
        <f t="shared" si="67"/>
        <v>19.75475013061002</v>
      </c>
      <c r="W98" s="124">
        <f t="shared" si="67"/>
        <v>22.670443316351733</v>
      </c>
      <c r="X98" s="124">
        <f t="shared" si="67"/>
        <v>25.786754558619219</v>
      </c>
      <c r="Y98" s="124">
        <f t="shared" si="67"/>
        <v>28.646997610357737</v>
      </c>
      <c r="Z98" s="125">
        <f t="shared" si="67"/>
        <v>31.329299708775437</v>
      </c>
      <c r="AB98" s="81"/>
      <c r="AC98" s="33"/>
      <c r="AD98" s="33"/>
      <c r="AE98" s="33"/>
      <c r="AF98" s="33"/>
      <c r="AG98" s="33"/>
      <c r="AH98" s="33"/>
      <c r="AI98" s="33"/>
      <c r="AJ98" s="33"/>
      <c r="AK98" s="33"/>
      <c r="AL98" s="33"/>
      <c r="AM98" s="33"/>
      <c r="AN98" s="33"/>
    </row>
    <row r="99" spans="1:42" s="28" customFormat="1" ht="15" customHeight="1" thickTop="1" x14ac:dyDescent="0.25">
      <c r="A99" s="410"/>
      <c r="B99" s="422"/>
      <c r="C99" s="100"/>
      <c r="D99" s="85"/>
      <c r="E99" s="107" t="s">
        <v>218</v>
      </c>
      <c r="F99" s="31" t="s">
        <v>28</v>
      </c>
      <c r="G99" s="198">
        <f>G95/G97</f>
        <v>47.581538260011364</v>
      </c>
      <c r="H99" s="104">
        <f t="shared" ref="H99:Z99" si="68">H95/H97</f>
        <v>13.257534684815816</v>
      </c>
      <c r="I99" s="104">
        <f t="shared" si="68"/>
        <v>10.520775161587073</v>
      </c>
      <c r="J99" s="104">
        <f t="shared" si="68"/>
        <v>9.1045662397634093</v>
      </c>
      <c r="K99" s="104">
        <f t="shared" si="68"/>
        <v>8.3098827506710933</v>
      </c>
      <c r="L99" s="104">
        <f t="shared" si="68"/>
        <v>8.0185758916512082</v>
      </c>
      <c r="M99" s="104">
        <f t="shared" si="68"/>
        <v>7.4998584790651455</v>
      </c>
      <c r="N99" s="104">
        <f t="shared" si="68"/>
        <v>6.8664784891660595</v>
      </c>
      <c r="O99" s="104">
        <f t="shared" si="68"/>
        <v>6.4039410492466811</v>
      </c>
      <c r="P99" s="104">
        <f t="shared" si="68"/>
        <v>6.5044789848368252</v>
      </c>
      <c r="Q99" s="104">
        <f t="shared" si="68"/>
        <v>6.6353570058788049</v>
      </c>
      <c r="R99" s="104">
        <f t="shared" si="68"/>
        <v>6.8903402304511658</v>
      </c>
      <c r="S99" s="104">
        <f t="shared" si="68"/>
        <v>7.0104561751259604</v>
      </c>
      <c r="T99" s="104">
        <f t="shared" si="68"/>
        <v>7.1254016318034328</v>
      </c>
      <c r="U99" s="104">
        <f t="shared" si="68"/>
        <v>7.2368507458496678</v>
      </c>
      <c r="V99" s="104">
        <f t="shared" si="68"/>
        <v>7.3461573220032799</v>
      </c>
      <c r="W99" s="104">
        <f t="shared" si="68"/>
        <v>7.7737628902350053</v>
      </c>
      <c r="X99" s="104">
        <f t="shared" si="68"/>
        <v>8.0918649156207909</v>
      </c>
      <c r="Y99" s="104">
        <f t="shared" si="68"/>
        <v>8.2785695282852263</v>
      </c>
      <c r="Z99" s="120">
        <f t="shared" si="68"/>
        <v>8.3892495188798613</v>
      </c>
      <c r="AB99" s="81"/>
      <c r="AC99" s="33"/>
      <c r="AD99" s="33"/>
      <c r="AE99" s="33"/>
      <c r="AF99" s="33"/>
      <c r="AG99" s="33"/>
      <c r="AH99" s="33"/>
      <c r="AI99" s="33"/>
      <c r="AJ99" s="33"/>
      <c r="AK99" s="33"/>
      <c r="AL99" s="33"/>
      <c r="AM99" s="33"/>
      <c r="AN99" s="33"/>
    </row>
    <row r="100" spans="1:42" x14ac:dyDescent="0.25">
      <c r="Q100" s="15"/>
      <c r="R100" s="15"/>
      <c r="T100" s="15"/>
      <c r="AA100" s="9"/>
      <c r="AC100" s="9"/>
      <c r="AD100" s="9"/>
      <c r="AE100" s="9"/>
      <c r="AF100" s="9"/>
      <c r="AG100" s="9"/>
      <c r="AH100" s="9"/>
      <c r="AI100" s="9"/>
      <c r="AJ100" s="9"/>
      <c r="AK100" s="9"/>
      <c r="AL100" s="9"/>
      <c r="AM100" s="9"/>
      <c r="AN100" s="9"/>
    </row>
    <row r="101" spans="1:42" x14ac:dyDescent="0.25">
      <c r="G101" s="334"/>
      <c r="Q101" s="15"/>
      <c r="R101" s="15"/>
      <c r="T101" s="15"/>
      <c r="AA101" s="9"/>
      <c r="AC101" s="9"/>
      <c r="AD101" s="9"/>
      <c r="AE101" s="9"/>
      <c r="AF101" s="9"/>
      <c r="AG101" s="9"/>
      <c r="AH101" s="9"/>
      <c r="AI101" s="9"/>
      <c r="AJ101" s="9"/>
      <c r="AK101" s="9"/>
      <c r="AL101" s="9"/>
      <c r="AM101" s="9"/>
      <c r="AN101" s="9"/>
    </row>
    <row r="102" spans="1:42" x14ac:dyDescent="0.25">
      <c r="Q102" s="15"/>
      <c r="R102" s="15"/>
      <c r="T102" s="15"/>
      <c r="AA102" s="9"/>
      <c r="AC102" s="9"/>
      <c r="AD102" s="9"/>
      <c r="AE102" s="9"/>
      <c r="AF102" s="9"/>
      <c r="AG102" s="9"/>
      <c r="AH102" s="9"/>
      <c r="AI102" s="9"/>
      <c r="AJ102" s="9"/>
      <c r="AK102" s="9"/>
      <c r="AL102" s="9"/>
      <c r="AM102" s="9"/>
      <c r="AN102" s="9"/>
    </row>
    <row r="103" spans="1:42" x14ac:dyDescent="0.25">
      <c r="Q103" s="15"/>
      <c r="R103" s="15"/>
      <c r="T103" s="15"/>
      <c r="AA103" s="9"/>
      <c r="AC103" s="9"/>
      <c r="AD103" s="9"/>
      <c r="AE103" s="9"/>
      <c r="AF103" s="9"/>
      <c r="AG103" s="9"/>
      <c r="AH103" s="9"/>
      <c r="AI103" s="9"/>
      <c r="AJ103" s="9"/>
      <c r="AK103" s="9"/>
      <c r="AL103" s="9"/>
      <c r="AM103" s="9"/>
      <c r="AN103" s="9"/>
      <c r="AP103" s="14"/>
    </row>
    <row r="105" spans="1:42" x14ac:dyDescent="0.25">
      <c r="Q105" s="15"/>
      <c r="R105" s="15"/>
      <c r="T105" s="15"/>
      <c r="AA105" s="9"/>
      <c r="AC105" s="9"/>
      <c r="AD105" s="9"/>
      <c r="AE105" s="9"/>
      <c r="AF105" s="9"/>
      <c r="AG105" s="9"/>
      <c r="AH105" s="9"/>
      <c r="AI105" s="9"/>
      <c r="AJ105" s="9"/>
      <c r="AK105" s="9"/>
      <c r="AL105" s="9"/>
      <c r="AM105" s="9"/>
      <c r="AN105" s="9"/>
    </row>
    <row r="106" spans="1:42" x14ac:dyDescent="0.25">
      <c r="Q106" s="15"/>
      <c r="R106" s="15"/>
      <c r="T106" s="15"/>
      <c r="AA106" s="9"/>
      <c r="AC106" s="9"/>
      <c r="AD106" s="9"/>
      <c r="AE106" s="9"/>
      <c r="AF106" s="9"/>
      <c r="AG106" s="9"/>
      <c r="AH106" s="9"/>
      <c r="AI106" s="9"/>
      <c r="AJ106" s="9"/>
      <c r="AK106" s="9"/>
      <c r="AL106" s="9"/>
      <c r="AM106" s="9"/>
      <c r="AN106" s="9"/>
    </row>
    <row r="107" spans="1:42" x14ac:dyDescent="0.25">
      <c r="Q107" s="15"/>
      <c r="R107" s="15"/>
      <c r="T107" s="15"/>
      <c r="AA107" s="9"/>
      <c r="AC107" s="9"/>
      <c r="AD107" s="9"/>
      <c r="AE107" s="9"/>
      <c r="AF107" s="9"/>
      <c r="AG107" s="9"/>
      <c r="AH107" s="9"/>
      <c r="AI107" s="9"/>
      <c r="AJ107" s="9"/>
      <c r="AK107" s="9"/>
      <c r="AL107" s="9"/>
      <c r="AM107" s="9"/>
      <c r="AN107" s="9"/>
    </row>
    <row r="108" spans="1:42" x14ac:dyDescent="0.25">
      <c r="Q108" s="15"/>
      <c r="R108" s="15"/>
      <c r="T108" s="15"/>
      <c r="AA108" s="9"/>
      <c r="AC108" s="9"/>
      <c r="AD108" s="9"/>
      <c r="AE108" s="9"/>
      <c r="AF108" s="9"/>
      <c r="AG108" s="9"/>
      <c r="AH108" s="9"/>
      <c r="AI108" s="9"/>
      <c r="AJ108" s="9"/>
      <c r="AK108" s="9"/>
      <c r="AL108" s="9"/>
      <c r="AM108" s="9"/>
      <c r="AN108" s="9"/>
    </row>
    <row r="109" spans="1:42" x14ac:dyDescent="0.25">
      <c r="Q109" s="15"/>
      <c r="R109" s="15"/>
      <c r="T109" s="15"/>
      <c r="AA109" s="9"/>
      <c r="AC109" s="9"/>
      <c r="AD109" s="9"/>
      <c r="AE109" s="9"/>
      <c r="AF109" s="9"/>
      <c r="AG109" s="9"/>
      <c r="AH109" s="9"/>
      <c r="AI109" s="9"/>
      <c r="AJ109" s="9"/>
      <c r="AK109" s="9"/>
      <c r="AL109" s="9"/>
      <c r="AM109" s="9"/>
      <c r="AN109" s="9"/>
    </row>
    <row r="110" spans="1:42" x14ac:dyDescent="0.25">
      <c r="Q110" s="15"/>
      <c r="R110" s="15"/>
      <c r="T110" s="15"/>
      <c r="AA110" s="9"/>
      <c r="AC110" s="9"/>
      <c r="AD110" s="9"/>
      <c r="AE110" s="9"/>
      <c r="AF110" s="9"/>
      <c r="AG110" s="9"/>
      <c r="AH110" s="9"/>
      <c r="AI110" s="9"/>
      <c r="AJ110" s="9"/>
      <c r="AK110" s="9"/>
      <c r="AL110" s="9"/>
      <c r="AM110" s="9"/>
      <c r="AN110" s="9"/>
    </row>
    <row r="124" spans="17:40" x14ac:dyDescent="0.25">
      <c r="Q124" s="15"/>
      <c r="R124" s="15"/>
      <c r="T124" s="15"/>
      <c r="AA124" s="9"/>
      <c r="AC124" s="9"/>
      <c r="AD124" s="9"/>
      <c r="AE124" s="9"/>
      <c r="AF124" s="9"/>
      <c r="AG124" s="9"/>
      <c r="AH124" s="9"/>
      <c r="AI124" s="9"/>
      <c r="AJ124" s="9"/>
      <c r="AK124" s="9"/>
      <c r="AL124" s="9"/>
      <c r="AM124" s="9"/>
      <c r="AN124" s="9"/>
    </row>
    <row r="125" spans="17:40" x14ac:dyDescent="0.25">
      <c r="Q125" s="15"/>
      <c r="R125" s="15"/>
      <c r="T125" s="15"/>
      <c r="AA125" s="9"/>
      <c r="AC125" s="9"/>
      <c r="AD125" s="9"/>
      <c r="AE125" s="9"/>
      <c r="AF125" s="9"/>
      <c r="AG125" s="9"/>
      <c r="AH125" s="9"/>
      <c r="AI125" s="9"/>
      <c r="AJ125" s="9"/>
      <c r="AK125" s="9"/>
      <c r="AL125" s="9"/>
      <c r="AM125" s="9"/>
      <c r="AN125" s="9"/>
    </row>
    <row r="126" spans="17:40" x14ac:dyDescent="0.25">
      <c r="Q126" s="15"/>
      <c r="R126" s="15"/>
      <c r="T126" s="15"/>
      <c r="AA126" s="9"/>
      <c r="AC126" s="9"/>
      <c r="AD126" s="9"/>
      <c r="AE126" s="9"/>
      <c r="AF126" s="9"/>
      <c r="AG126" s="9"/>
      <c r="AH126" s="9"/>
      <c r="AI126" s="9"/>
      <c r="AJ126" s="9"/>
      <c r="AK126" s="9"/>
      <c r="AL126" s="9"/>
      <c r="AM126" s="9"/>
      <c r="AN126" s="9"/>
    </row>
    <row r="127" spans="17:40" x14ac:dyDescent="0.25">
      <c r="Q127" s="15"/>
      <c r="R127" s="15"/>
      <c r="T127" s="15"/>
      <c r="AA127" s="9"/>
      <c r="AC127" s="9"/>
      <c r="AD127" s="9"/>
      <c r="AE127" s="9"/>
      <c r="AF127" s="9"/>
      <c r="AG127" s="9"/>
      <c r="AH127" s="9"/>
      <c r="AI127" s="9"/>
      <c r="AJ127" s="9"/>
      <c r="AK127" s="9"/>
      <c r="AL127" s="9"/>
      <c r="AM127" s="9"/>
      <c r="AN127" s="9"/>
    </row>
    <row r="128" spans="17:40" x14ac:dyDescent="0.25">
      <c r="Q128" s="15"/>
      <c r="R128" s="15"/>
      <c r="T128" s="15"/>
      <c r="AA128" s="9"/>
      <c r="AC128" s="9"/>
      <c r="AD128" s="9"/>
      <c r="AE128" s="9"/>
      <c r="AF128" s="9"/>
      <c r="AG128" s="9"/>
      <c r="AH128" s="9"/>
      <c r="AI128" s="9"/>
      <c r="AJ128" s="9"/>
      <c r="AK128" s="9"/>
      <c r="AL128" s="9"/>
      <c r="AM128" s="9"/>
      <c r="AN128" s="9"/>
    </row>
    <row r="129" spans="17:40" x14ac:dyDescent="0.25">
      <c r="Q129" s="15"/>
      <c r="R129" s="15"/>
      <c r="T129" s="15"/>
      <c r="AA129" s="9"/>
      <c r="AC129" s="9"/>
      <c r="AD129" s="9"/>
      <c r="AE129" s="9"/>
      <c r="AF129" s="9"/>
      <c r="AG129" s="9"/>
      <c r="AH129" s="9"/>
      <c r="AI129" s="9"/>
      <c r="AJ129" s="9"/>
      <c r="AK129" s="9"/>
      <c r="AL129" s="9"/>
      <c r="AM129" s="9"/>
      <c r="AN129" s="9"/>
    </row>
    <row r="130" spans="17:40" x14ac:dyDescent="0.25">
      <c r="Q130" s="15"/>
      <c r="R130" s="15"/>
      <c r="T130" s="15"/>
      <c r="AA130" s="9"/>
      <c r="AC130" s="9"/>
      <c r="AD130" s="9"/>
      <c r="AE130" s="9"/>
      <c r="AF130" s="9"/>
      <c r="AG130" s="9"/>
      <c r="AH130" s="9"/>
      <c r="AI130" s="9"/>
      <c r="AJ130" s="9"/>
      <c r="AK130" s="9"/>
      <c r="AL130" s="9"/>
      <c r="AM130" s="9"/>
      <c r="AN130" s="9"/>
    </row>
  </sheetData>
  <sheetProtection algorithmName="SHA-512" hashValue="8j1dpdd0ZStYwdAikZJcSldJJNszWfwnITCbdwwKGNjv7db0XGAae24txXx4D1EOOpnU4R4zI380dUwKDJc94A==" saltValue="HNfisXUpeXB0mfQoAKDvQw==" spinCount="100000" sheet="1" objects="1" scenarios="1"/>
  <mergeCells count="28">
    <mergeCell ref="E71:Z71"/>
    <mergeCell ref="E39:Z39"/>
    <mergeCell ref="A2:B16"/>
    <mergeCell ref="C2:D2"/>
    <mergeCell ref="E4:Z4"/>
    <mergeCell ref="E18:Z18"/>
    <mergeCell ref="E2:Z2"/>
    <mergeCell ref="E11:Z11"/>
    <mergeCell ref="E44:Z44"/>
    <mergeCell ref="E53:Z53"/>
    <mergeCell ref="E58:Z58"/>
    <mergeCell ref="A18:B50"/>
    <mergeCell ref="A94:A99"/>
    <mergeCell ref="A53:B74"/>
    <mergeCell ref="E87:Z87"/>
    <mergeCell ref="B87:B91"/>
    <mergeCell ref="E23:Z23"/>
    <mergeCell ref="A77:A84"/>
    <mergeCell ref="A87:A91"/>
    <mergeCell ref="E68:Z68"/>
    <mergeCell ref="E34:Z34"/>
    <mergeCell ref="E77:Z77"/>
    <mergeCell ref="B77:B84"/>
    <mergeCell ref="E94:Z94"/>
    <mergeCell ref="B94:B99"/>
    <mergeCell ref="E63:Z63"/>
    <mergeCell ref="E47:Z47"/>
    <mergeCell ref="E31:Z31"/>
  </mergeCells>
  <pageMargins left="0.7" right="0.7" top="0.78740157499999996" bottom="0.78740157499999996"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GZ132"/>
  <sheetViews>
    <sheetView showGridLines="0" zoomScale="60" zoomScaleNormal="60" workbookViewId="0"/>
  </sheetViews>
  <sheetFormatPr baseColWidth="10" defaultRowHeight="15" x14ac:dyDescent="0.25"/>
  <cols>
    <col min="1" max="1" width="13.7109375" customWidth="1"/>
    <col min="2" max="2" width="19.85546875" customWidth="1"/>
    <col min="3" max="3" width="22.42578125" bestFit="1" customWidth="1"/>
    <col min="4" max="4" width="19.42578125" customWidth="1"/>
    <col min="5" max="5" width="13" customWidth="1"/>
    <col min="12" max="12" width="17.7109375" style="281" customWidth="1"/>
    <col min="13" max="13" width="12" style="281" customWidth="1"/>
    <col min="14" max="14" width="11.42578125" style="281" customWidth="1"/>
    <col min="15" max="15" width="12.28515625" customWidth="1"/>
    <col min="22" max="24" width="11.42578125" style="281"/>
    <col min="32" max="34" width="11.42578125" style="281"/>
    <col min="42" max="44" width="11.42578125" style="281"/>
    <col min="52" max="54" width="11.42578125" style="281"/>
    <col min="62" max="64" width="11.42578125" style="281"/>
    <col min="72" max="74" width="11.42578125" style="281"/>
    <col min="82" max="84" width="11.42578125" style="281"/>
    <col min="92" max="94" width="11.42578125" style="281"/>
    <col min="102" max="104" width="11.42578125" style="281"/>
    <col min="112" max="114" width="11.42578125" style="281"/>
    <col min="122" max="124" width="11.42578125" style="281"/>
    <col min="132" max="134" width="11.42578125" style="281"/>
    <col min="142" max="144" width="11.42578125" style="281"/>
    <col min="152" max="154" width="11.42578125" style="281"/>
    <col min="162" max="164" width="11.42578125" style="281"/>
    <col min="172" max="174" width="11.42578125" style="281"/>
    <col min="182" max="184" width="11.42578125" style="281"/>
    <col min="192" max="194" width="11.42578125" style="281"/>
    <col min="202" max="204" width="11.42578125" style="281"/>
    <col min="205" max="205" width="11.42578125" style="252"/>
    <col min="207" max="207" width="11.42578125" style="265"/>
  </cols>
  <sheetData>
    <row r="2" spans="2:208" ht="14.45" x14ac:dyDescent="0.3">
      <c r="F2" s="426">
        <v>1</v>
      </c>
      <c r="G2" s="427"/>
      <c r="H2" s="427"/>
      <c r="I2" s="427"/>
      <c r="J2" s="427"/>
      <c r="K2" s="427"/>
      <c r="L2" s="427"/>
      <c r="M2" s="427"/>
      <c r="N2" s="428"/>
      <c r="P2" s="426">
        <v>2</v>
      </c>
      <c r="Q2" s="427"/>
      <c r="R2" s="427"/>
      <c r="S2" s="427"/>
      <c r="T2" s="427"/>
      <c r="U2" s="427"/>
      <c r="V2" s="427"/>
      <c r="W2" s="427"/>
      <c r="X2" s="428"/>
      <c r="Z2" s="426">
        <v>3</v>
      </c>
      <c r="AA2" s="427"/>
      <c r="AB2" s="427"/>
      <c r="AC2" s="427"/>
      <c r="AD2" s="427"/>
      <c r="AE2" s="427"/>
      <c r="AF2" s="427"/>
      <c r="AG2" s="427"/>
      <c r="AH2" s="428"/>
      <c r="AJ2" s="426">
        <v>4</v>
      </c>
      <c r="AK2" s="427"/>
      <c r="AL2" s="427"/>
      <c r="AM2" s="427"/>
      <c r="AN2" s="427"/>
      <c r="AO2" s="427"/>
      <c r="AP2" s="427"/>
      <c r="AQ2" s="427"/>
      <c r="AR2" s="428"/>
      <c r="AT2" s="426">
        <v>5</v>
      </c>
      <c r="AU2" s="427"/>
      <c r="AV2" s="427"/>
      <c r="AW2" s="427"/>
      <c r="AX2" s="427"/>
      <c r="AY2" s="427"/>
      <c r="AZ2" s="427"/>
      <c r="BA2" s="427"/>
      <c r="BB2" s="428"/>
      <c r="BD2" s="426">
        <v>6</v>
      </c>
      <c r="BE2" s="427"/>
      <c r="BF2" s="427"/>
      <c r="BG2" s="427"/>
      <c r="BH2" s="427"/>
      <c r="BI2" s="427"/>
      <c r="BJ2" s="427"/>
      <c r="BK2" s="427"/>
      <c r="BL2" s="428"/>
      <c r="BN2" s="426">
        <v>7</v>
      </c>
      <c r="BO2" s="427"/>
      <c r="BP2" s="427"/>
      <c r="BQ2" s="427"/>
      <c r="BR2" s="427"/>
      <c r="BS2" s="427"/>
      <c r="BT2" s="427"/>
      <c r="BU2" s="427"/>
      <c r="BV2" s="428"/>
      <c r="BX2" s="426">
        <v>8</v>
      </c>
      <c r="BY2" s="427"/>
      <c r="BZ2" s="427"/>
      <c r="CA2" s="427"/>
      <c r="CB2" s="427"/>
      <c r="CC2" s="427"/>
      <c r="CD2" s="427"/>
      <c r="CE2" s="427"/>
      <c r="CF2" s="428"/>
      <c r="CH2" s="426">
        <v>9</v>
      </c>
      <c r="CI2" s="427"/>
      <c r="CJ2" s="427"/>
      <c r="CK2" s="427"/>
      <c r="CL2" s="427"/>
      <c r="CM2" s="427"/>
      <c r="CN2" s="427"/>
      <c r="CO2" s="427"/>
      <c r="CP2" s="428"/>
      <c r="CR2" s="426">
        <v>10</v>
      </c>
      <c r="CS2" s="427"/>
      <c r="CT2" s="427"/>
      <c r="CU2" s="427"/>
      <c r="CV2" s="427"/>
      <c r="CW2" s="427"/>
      <c r="CX2" s="427"/>
      <c r="CY2" s="427"/>
      <c r="CZ2" s="428"/>
      <c r="DB2" s="426">
        <v>11</v>
      </c>
      <c r="DC2" s="427"/>
      <c r="DD2" s="427"/>
      <c r="DE2" s="427"/>
      <c r="DF2" s="427"/>
      <c r="DG2" s="427"/>
      <c r="DH2" s="427"/>
      <c r="DI2" s="427"/>
      <c r="DJ2" s="428"/>
      <c r="DL2" s="426">
        <v>12</v>
      </c>
      <c r="DM2" s="427"/>
      <c r="DN2" s="427"/>
      <c r="DO2" s="427"/>
      <c r="DP2" s="427"/>
      <c r="DQ2" s="427"/>
      <c r="DR2" s="427"/>
      <c r="DS2" s="427"/>
      <c r="DT2" s="428"/>
      <c r="DV2" s="426">
        <v>13</v>
      </c>
      <c r="DW2" s="427"/>
      <c r="DX2" s="427"/>
      <c r="DY2" s="427"/>
      <c r="DZ2" s="427"/>
      <c r="EA2" s="427"/>
      <c r="EB2" s="427"/>
      <c r="EC2" s="427"/>
      <c r="ED2" s="428"/>
      <c r="EF2" s="426">
        <v>14</v>
      </c>
      <c r="EG2" s="427"/>
      <c r="EH2" s="427"/>
      <c r="EI2" s="427"/>
      <c r="EJ2" s="427"/>
      <c r="EK2" s="427"/>
      <c r="EL2" s="427"/>
      <c r="EM2" s="427"/>
      <c r="EN2" s="428"/>
      <c r="EP2" s="426">
        <v>15</v>
      </c>
      <c r="EQ2" s="427"/>
      <c r="ER2" s="427"/>
      <c r="ES2" s="427"/>
      <c r="ET2" s="427"/>
      <c r="EU2" s="427"/>
      <c r="EV2" s="428"/>
      <c r="EW2" s="146"/>
      <c r="EX2" s="146"/>
      <c r="EZ2" s="426">
        <v>16</v>
      </c>
      <c r="FA2" s="427"/>
      <c r="FB2" s="427"/>
      <c r="FC2" s="427"/>
      <c r="FD2" s="427"/>
      <c r="FE2" s="427"/>
      <c r="FF2" s="427"/>
      <c r="FG2" s="427"/>
      <c r="FH2" s="428"/>
      <c r="FJ2" s="426">
        <v>17</v>
      </c>
      <c r="FK2" s="427"/>
      <c r="FL2" s="427"/>
      <c r="FM2" s="427"/>
      <c r="FN2" s="427"/>
      <c r="FO2" s="427"/>
      <c r="FP2" s="427"/>
      <c r="FQ2" s="428"/>
      <c r="FR2" s="146"/>
      <c r="FT2" s="426">
        <v>18</v>
      </c>
      <c r="FU2" s="427"/>
      <c r="FV2" s="427"/>
      <c r="FW2" s="427"/>
      <c r="FX2" s="427"/>
      <c r="FY2" s="427"/>
      <c r="FZ2" s="427"/>
      <c r="GA2" s="427"/>
      <c r="GB2" s="428"/>
      <c r="GD2" s="426">
        <v>19</v>
      </c>
      <c r="GE2" s="427"/>
      <c r="GF2" s="427"/>
      <c r="GG2" s="427"/>
      <c r="GH2" s="427"/>
      <c r="GI2" s="427"/>
      <c r="GJ2" s="427"/>
      <c r="GK2" s="427"/>
      <c r="GL2" s="428"/>
      <c r="GN2" s="426">
        <v>20</v>
      </c>
      <c r="GO2" s="427"/>
      <c r="GP2" s="427"/>
      <c r="GQ2" s="427"/>
      <c r="GR2" s="427"/>
      <c r="GS2" s="427"/>
      <c r="GT2" s="427"/>
      <c r="GU2" s="427"/>
      <c r="GV2" s="428"/>
      <c r="GW2" s="146"/>
    </row>
    <row r="3" spans="2:208" x14ac:dyDescent="0.25">
      <c r="B3" s="379" t="s">
        <v>81</v>
      </c>
      <c r="C3" s="380"/>
      <c r="D3" s="381"/>
      <c r="F3" s="429" t="s">
        <v>79</v>
      </c>
      <c r="G3" s="430"/>
      <c r="H3" s="429" t="s">
        <v>80</v>
      </c>
      <c r="I3" s="430"/>
      <c r="J3" s="429" t="s">
        <v>79</v>
      </c>
      <c r="K3" s="430"/>
      <c r="L3" s="379" t="s">
        <v>175</v>
      </c>
      <c r="M3" s="380"/>
      <c r="N3" s="381"/>
      <c r="P3" s="379" t="s">
        <v>79</v>
      </c>
      <c r="Q3" s="381"/>
      <c r="R3" s="379" t="s">
        <v>80</v>
      </c>
      <c r="S3" s="381"/>
      <c r="T3" s="379" t="s">
        <v>79</v>
      </c>
      <c r="U3" s="381"/>
      <c r="V3" s="379" t="s">
        <v>175</v>
      </c>
      <c r="W3" s="380"/>
      <c r="X3" s="381"/>
      <c r="Z3" s="379" t="s">
        <v>79</v>
      </c>
      <c r="AA3" s="381"/>
      <c r="AB3" s="379" t="s">
        <v>80</v>
      </c>
      <c r="AC3" s="381"/>
      <c r="AD3" s="379" t="s">
        <v>79</v>
      </c>
      <c r="AE3" s="381"/>
      <c r="AF3" s="379" t="s">
        <v>175</v>
      </c>
      <c r="AG3" s="380"/>
      <c r="AH3" s="381"/>
      <c r="AJ3" s="379" t="s">
        <v>79</v>
      </c>
      <c r="AK3" s="381"/>
      <c r="AL3" s="379" t="s">
        <v>80</v>
      </c>
      <c r="AM3" s="381"/>
      <c r="AN3" s="379" t="s">
        <v>79</v>
      </c>
      <c r="AO3" s="381"/>
      <c r="AP3" s="379" t="s">
        <v>175</v>
      </c>
      <c r="AQ3" s="380"/>
      <c r="AR3" s="381"/>
      <c r="AT3" s="379" t="s">
        <v>79</v>
      </c>
      <c r="AU3" s="381"/>
      <c r="AV3" s="379" t="s">
        <v>80</v>
      </c>
      <c r="AW3" s="381"/>
      <c r="AX3" s="379" t="s">
        <v>79</v>
      </c>
      <c r="AY3" s="381"/>
      <c r="AZ3" s="379" t="s">
        <v>175</v>
      </c>
      <c r="BA3" s="380"/>
      <c r="BB3" s="381"/>
      <c r="BD3" s="379" t="s">
        <v>79</v>
      </c>
      <c r="BE3" s="381"/>
      <c r="BF3" s="379" t="s">
        <v>80</v>
      </c>
      <c r="BG3" s="381"/>
      <c r="BH3" s="379" t="s">
        <v>79</v>
      </c>
      <c r="BI3" s="381"/>
      <c r="BJ3" s="379" t="s">
        <v>175</v>
      </c>
      <c r="BK3" s="380"/>
      <c r="BL3" s="381"/>
      <c r="BN3" s="379" t="s">
        <v>79</v>
      </c>
      <c r="BO3" s="381"/>
      <c r="BP3" s="379" t="s">
        <v>80</v>
      </c>
      <c r="BQ3" s="381"/>
      <c r="BR3" s="379" t="s">
        <v>79</v>
      </c>
      <c r="BS3" s="381"/>
      <c r="BT3" s="379" t="s">
        <v>175</v>
      </c>
      <c r="BU3" s="380"/>
      <c r="BV3" s="381"/>
      <c r="BX3" s="379" t="s">
        <v>79</v>
      </c>
      <c r="BY3" s="381"/>
      <c r="BZ3" s="379" t="s">
        <v>80</v>
      </c>
      <c r="CA3" s="381"/>
      <c r="CB3" s="379" t="s">
        <v>79</v>
      </c>
      <c r="CC3" s="381"/>
      <c r="CD3" s="379" t="s">
        <v>175</v>
      </c>
      <c r="CE3" s="380"/>
      <c r="CF3" s="381"/>
      <c r="CH3" s="379" t="s">
        <v>79</v>
      </c>
      <c r="CI3" s="381"/>
      <c r="CJ3" s="379" t="s">
        <v>80</v>
      </c>
      <c r="CK3" s="381"/>
      <c r="CL3" s="379" t="s">
        <v>79</v>
      </c>
      <c r="CM3" s="381"/>
      <c r="CN3" s="379" t="s">
        <v>175</v>
      </c>
      <c r="CO3" s="380"/>
      <c r="CP3" s="381"/>
      <c r="CR3" s="379" t="s">
        <v>79</v>
      </c>
      <c r="CS3" s="381"/>
      <c r="CT3" s="379" t="s">
        <v>80</v>
      </c>
      <c r="CU3" s="381"/>
      <c r="CV3" s="379" t="s">
        <v>79</v>
      </c>
      <c r="CW3" s="381"/>
      <c r="CX3" s="379" t="s">
        <v>175</v>
      </c>
      <c r="CY3" s="380"/>
      <c r="CZ3" s="381"/>
      <c r="DB3" s="379" t="s">
        <v>79</v>
      </c>
      <c r="DC3" s="381"/>
      <c r="DD3" s="379" t="s">
        <v>80</v>
      </c>
      <c r="DE3" s="381"/>
      <c r="DF3" s="379" t="s">
        <v>79</v>
      </c>
      <c r="DG3" s="381"/>
      <c r="DH3" s="379" t="s">
        <v>175</v>
      </c>
      <c r="DI3" s="380"/>
      <c r="DJ3" s="381"/>
      <c r="DL3" s="379" t="s">
        <v>79</v>
      </c>
      <c r="DM3" s="381"/>
      <c r="DN3" s="379" t="s">
        <v>80</v>
      </c>
      <c r="DO3" s="381"/>
      <c r="DP3" s="379" t="s">
        <v>79</v>
      </c>
      <c r="DQ3" s="381"/>
      <c r="DR3" s="379" t="s">
        <v>175</v>
      </c>
      <c r="DS3" s="380"/>
      <c r="DT3" s="381"/>
      <c r="DV3" s="379" t="s">
        <v>79</v>
      </c>
      <c r="DW3" s="381"/>
      <c r="DX3" s="379" t="s">
        <v>80</v>
      </c>
      <c r="DY3" s="381"/>
      <c r="DZ3" s="379" t="s">
        <v>79</v>
      </c>
      <c r="EA3" s="381"/>
      <c r="EB3" s="379" t="s">
        <v>175</v>
      </c>
      <c r="EC3" s="380"/>
      <c r="ED3" s="381"/>
      <c r="EF3" s="379" t="s">
        <v>79</v>
      </c>
      <c r="EG3" s="381"/>
      <c r="EH3" s="379" t="s">
        <v>80</v>
      </c>
      <c r="EI3" s="381"/>
      <c r="EJ3" s="379" t="s">
        <v>79</v>
      </c>
      <c r="EK3" s="381"/>
      <c r="EL3" s="379" t="s">
        <v>175</v>
      </c>
      <c r="EM3" s="380"/>
      <c r="EN3" s="381"/>
      <c r="EP3" s="379" t="s">
        <v>79</v>
      </c>
      <c r="EQ3" s="381"/>
      <c r="ER3" s="379" t="s">
        <v>80</v>
      </c>
      <c r="ES3" s="381"/>
      <c r="ET3" s="379" t="s">
        <v>79</v>
      </c>
      <c r="EU3" s="381"/>
      <c r="EV3" s="379" t="s">
        <v>175</v>
      </c>
      <c r="EW3" s="380"/>
      <c r="EX3" s="381"/>
      <c r="EZ3" s="379" t="s">
        <v>79</v>
      </c>
      <c r="FA3" s="381"/>
      <c r="FB3" s="379" t="s">
        <v>80</v>
      </c>
      <c r="FC3" s="381"/>
      <c r="FD3" s="379" t="s">
        <v>79</v>
      </c>
      <c r="FE3" s="381"/>
      <c r="FF3" s="379" t="s">
        <v>175</v>
      </c>
      <c r="FG3" s="380"/>
      <c r="FH3" s="381"/>
      <c r="FJ3" s="379" t="s">
        <v>79</v>
      </c>
      <c r="FK3" s="381"/>
      <c r="FL3" s="379" t="s">
        <v>80</v>
      </c>
      <c r="FM3" s="381"/>
      <c r="FN3" s="379" t="s">
        <v>79</v>
      </c>
      <c r="FO3" s="381"/>
      <c r="FP3" s="379" t="s">
        <v>175</v>
      </c>
      <c r="FQ3" s="380"/>
      <c r="FR3" s="381"/>
      <c r="FT3" s="379" t="s">
        <v>79</v>
      </c>
      <c r="FU3" s="381"/>
      <c r="FV3" s="379" t="s">
        <v>80</v>
      </c>
      <c r="FW3" s="381"/>
      <c r="FX3" s="379" t="s">
        <v>79</v>
      </c>
      <c r="FY3" s="381"/>
      <c r="FZ3" s="379" t="s">
        <v>175</v>
      </c>
      <c r="GA3" s="380"/>
      <c r="GB3" s="381"/>
      <c r="GD3" s="379" t="s">
        <v>79</v>
      </c>
      <c r="GE3" s="381"/>
      <c r="GF3" s="379" t="s">
        <v>80</v>
      </c>
      <c r="GG3" s="381"/>
      <c r="GH3" s="379" t="s">
        <v>79</v>
      </c>
      <c r="GI3" s="381"/>
      <c r="GJ3" s="379" t="s">
        <v>175</v>
      </c>
      <c r="GK3" s="380"/>
      <c r="GL3" s="381"/>
      <c r="GN3" s="379" t="s">
        <v>79</v>
      </c>
      <c r="GO3" s="381"/>
      <c r="GP3" s="379" t="s">
        <v>80</v>
      </c>
      <c r="GQ3" s="381"/>
      <c r="GR3" s="379" t="s">
        <v>79</v>
      </c>
      <c r="GS3" s="381"/>
      <c r="GT3" s="379" t="s">
        <v>175</v>
      </c>
      <c r="GU3" s="380"/>
      <c r="GV3" s="381"/>
      <c r="GW3" s="260"/>
      <c r="GX3" s="379" t="s">
        <v>79</v>
      </c>
      <c r="GY3" s="381"/>
    </row>
    <row r="4" spans="2:208" x14ac:dyDescent="0.25">
      <c r="B4" s="63" t="s">
        <v>9</v>
      </c>
      <c r="C4" s="63" t="s">
        <v>78</v>
      </c>
      <c r="D4" s="63" t="s">
        <v>77</v>
      </c>
      <c r="F4" s="63" t="s">
        <v>9</v>
      </c>
      <c r="G4" s="63" t="s">
        <v>22</v>
      </c>
      <c r="H4" s="63" t="s">
        <v>9</v>
      </c>
      <c r="I4" s="63" t="s">
        <v>77</v>
      </c>
      <c r="J4" s="63" t="s">
        <v>9</v>
      </c>
      <c r="K4" s="63" t="s">
        <v>22</v>
      </c>
      <c r="L4" s="283" t="s">
        <v>9</v>
      </c>
      <c r="M4" s="302" t="s">
        <v>22</v>
      </c>
      <c r="N4" s="283" t="s">
        <v>107</v>
      </c>
      <c r="P4" s="221" t="s">
        <v>9</v>
      </c>
      <c r="Q4" s="221" t="s">
        <v>22</v>
      </c>
      <c r="R4" s="221" t="s">
        <v>9</v>
      </c>
      <c r="S4" s="221" t="s">
        <v>77</v>
      </c>
      <c r="T4" s="221" t="s">
        <v>9</v>
      </c>
      <c r="U4" s="221" t="s">
        <v>22</v>
      </c>
      <c r="V4" s="283" t="s">
        <v>9</v>
      </c>
      <c r="W4" s="302" t="s">
        <v>22</v>
      </c>
      <c r="X4" s="283" t="s">
        <v>107</v>
      </c>
      <c r="Z4" s="221" t="s">
        <v>9</v>
      </c>
      <c r="AA4" s="221" t="s">
        <v>22</v>
      </c>
      <c r="AB4" s="221" t="s">
        <v>9</v>
      </c>
      <c r="AC4" s="221" t="s">
        <v>77</v>
      </c>
      <c r="AD4" s="221" t="s">
        <v>9</v>
      </c>
      <c r="AE4" s="221" t="s">
        <v>22</v>
      </c>
      <c r="AF4" s="283" t="s">
        <v>9</v>
      </c>
      <c r="AG4" s="302" t="s">
        <v>22</v>
      </c>
      <c r="AH4" s="283" t="s">
        <v>107</v>
      </c>
      <c r="AJ4" s="221" t="s">
        <v>9</v>
      </c>
      <c r="AK4" s="221" t="s">
        <v>22</v>
      </c>
      <c r="AL4" s="221" t="s">
        <v>9</v>
      </c>
      <c r="AM4" s="221" t="s">
        <v>77</v>
      </c>
      <c r="AN4" s="221" t="s">
        <v>9</v>
      </c>
      <c r="AO4" s="221" t="s">
        <v>22</v>
      </c>
      <c r="AP4" s="283" t="s">
        <v>9</v>
      </c>
      <c r="AQ4" s="302" t="s">
        <v>22</v>
      </c>
      <c r="AR4" s="283" t="s">
        <v>107</v>
      </c>
      <c r="AT4" s="221" t="s">
        <v>9</v>
      </c>
      <c r="AU4" s="221" t="s">
        <v>22</v>
      </c>
      <c r="AV4" s="221" t="s">
        <v>9</v>
      </c>
      <c r="AW4" s="221" t="s">
        <v>77</v>
      </c>
      <c r="AX4" s="221" t="s">
        <v>9</v>
      </c>
      <c r="AY4" s="221" t="s">
        <v>22</v>
      </c>
      <c r="AZ4" s="283" t="s">
        <v>9</v>
      </c>
      <c r="BA4" s="302" t="s">
        <v>22</v>
      </c>
      <c r="BB4" s="283" t="s">
        <v>107</v>
      </c>
      <c r="BD4" s="221" t="s">
        <v>9</v>
      </c>
      <c r="BE4" s="221" t="s">
        <v>22</v>
      </c>
      <c r="BF4" s="221" t="s">
        <v>9</v>
      </c>
      <c r="BG4" s="221" t="s">
        <v>77</v>
      </c>
      <c r="BH4" s="221" t="s">
        <v>9</v>
      </c>
      <c r="BI4" s="221" t="s">
        <v>22</v>
      </c>
      <c r="BJ4" s="283" t="s">
        <v>9</v>
      </c>
      <c r="BK4" s="302" t="s">
        <v>22</v>
      </c>
      <c r="BL4" s="283" t="s">
        <v>107</v>
      </c>
      <c r="BN4" s="221" t="s">
        <v>9</v>
      </c>
      <c r="BO4" s="221" t="s">
        <v>22</v>
      </c>
      <c r="BP4" s="221" t="s">
        <v>9</v>
      </c>
      <c r="BQ4" s="221" t="s">
        <v>77</v>
      </c>
      <c r="BR4" s="221" t="s">
        <v>9</v>
      </c>
      <c r="BS4" s="221" t="s">
        <v>22</v>
      </c>
      <c r="BT4" s="283" t="s">
        <v>9</v>
      </c>
      <c r="BU4" s="302" t="s">
        <v>22</v>
      </c>
      <c r="BV4" s="283" t="s">
        <v>107</v>
      </c>
      <c r="BX4" s="221" t="s">
        <v>9</v>
      </c>
      <c r="BY4" s="221" t="s">
        <v>22</v>
      </c>
      <c r="BZ4" s="221" t="s">
        <v>9</v>
      </c>
      <c r="CA4" s="221" t="s">
        <v>77</v>
      </c>
      <c r="CB4" s="221" t="s">
        <v>9</v>
      </c>
      <c r="CC4" s="221" t="s">
        <v>22</v>
      </c>
      <c r="CD4" s="283" t="s">
        <v>9</v>
      </c>
      <c r="CE4" s="302" t="s">
        <v>22</v>
      </c>
      <c r="CF4" s="283" t="s">
        <v>107</v>
      </c>
      <c r="CH4" s="221" t="s">
        <v>9</v>
      </c>
      <c r="CI4" s="221" t="s">
        <v>22</v>
      </c>
      <c r="CJ4" s="221" t="s">
        <v>9</v>
      </c>
      <c r="CK4" s="221" t="s">
        <v>77</v>
      </c>
      <c r="CL4" s="221" t="s">
        <v>9</v>
      </c>
      <c r="CM4" s="221" t="s">
        <v>22</v>
      </c>
      <c r="CN4" s="283" t="s">
        <v>9</v>
      </c>
      <c r="CO4" s="302" t="s">
        <v>22</v>
      </c>
      <c r="CP4" s="283" t="s">
        <v>107</v>
      </c>
      <c r="CR4" s="221" t="s">
        <v>9</v>
      </c>
      <c r="CS4" s="221" t="s">
        <v>22</v>
      </c>
      <c r="CT4" s="221" t="s">
        <v>9</v>
      </c>
      <c r="CU4" s="221" t="s">
        <v>77</v>
      </c>
      <c r="CV4" s="221" t="s">
        <v>9</v>
      </c>
      <c r="CW4" s="221" t="s">
        <v>22</v>
      </c>
      <c r="CX4" s="283" t="s">
        <v>9</v>
      </c>
      <c r="CY4" s="302" t="s">
        <v>22</v>
      </c>
      <c r="CZ4" s="283" t="s">
        <v>107</v>
      </c>
      <c r="DB4" s="221" t="s">
        <v>9</v>
      </c>
      <c r="DC4" s="221" t="s">
        <v>22</v>
      </c>
      <c r="DD4" s="221" t="s">
        <v>9</v>
      </c>
      <c r="DE4" s="221" t="s">
        <v>77</v>
      </c>
      <c r="DF4" s="221" t="s">
        <v>9</v>
      </c>
      <c r="DG4" s="221" t="s">
        <v>22</v>
      </c>
      <c r="DH4" s="283" t="s">
        <v>9</v>
      </c>
      <c r="DI4" s="302" t="s">
        <v>22</v>
      </c>
      <c r="DJ4" s="283" t="s">
        <v>107</v>
      </c>
      <c r="DL4" s="221" t="s">
        <v>9</v>
      </c>
      <c r="DM4" s="221" t="s">
        <v>22</v>
      </c>
      <c r="DN4" s="221" t="s">
        <v>9</v>
      </c>
      <c r="DO4" s="221" t="s">
        <v>77</v>
      </c>
      <c r="DP4" s="221" t="s">
        <v>9</v>
      </c>
      <c r="DQ4" s="221" t="s">
        <v>22</v>
      </c>
      <c r="DR4" s="283" t="s">
        <v>9</v>
      </c>
      <c r="DS4" s="302" t="s">
        <v>22</v>
      </c>
      <c r="DT4" s="283" t="s">
        <v>107</v>
      </c>
      <c r="DV4" s="221" t="s">
        <v>9</v>
      </c>
      <c r="DW4" s="221" t="s">
        <v>22</v>
      </c>
      <c r="DX4" s="221" t="s">
        <v>9</v>
      </c>
      <c r="DY4" s="221" t="s">
        <v>77</v>
      </c>
      <c r="DZ4" s="221" t="s">
        <v>9</v>
      </c>
      <c r="EA4" s="221" t="s">
        <v>22</v>
      </c>
      <c r="EB4" s="283" t="s">
        <v>9</v>
      </c>
      <c r="EC4" s="302" t="s">
        <v>22</v>
      </c>
      <c r="ED4" s="283" t="s">
        <v>107</v>
      </c>
      <c r="EF4" s="221" t="s">
        <v>9</v>
      </c>
      <c r="EG4" s="221" t="s">
        <v>22</v>
      </c>
      <c r="EH4" s="221" t="s">
        <v>9</v>
      </c>
      <c r="EI4" s="221" t="s">
        <v>77</v>
      </c>
      <c r="EJ4" s="221" t="s">
        <v>9</v>
      </c>
      <c r="EK4" s="221" t="s">
        <v>22</v>
      </c>
      <c r="EL4" s="283" t="s">
        <v>9</v>
      </c>
      <c r="EM4" s="302" t="s">
        <v>22</v>
      </c>
      <c r="EN4" s="283" t="s">
        <v>107</v>
      </c>
      <c r="EP4" s="221" t="s">
        <v>9</v>
      </c>
      <c r="EQ4" s="221" t="s">
        <v>22</v>
      </c>
      <c r="ER4" s="221" t="s">
        <v>9</v>
      </c>
      <c r="ES4" s="221" t="s">
        <v>77</v>
      </c>
      <c r="ET4" s="221" t="s">
        <v>9</v>
      </c>
      <c r="EU4" s="221" t="s">
        <v>22</v>
      </c>
      <c r="EV4" s="283" t="s">
        <v>9</v>
      </c>
      <c r="EW4" s="302" t="s">
        <v>22</v>
      </c>
      <c r="EX4" s="283" t="s">
        <v>107</v>
      </c>
      <c r="EZ4" s="221" t="s">
        <v>9</v>
      </c>
      <c r="FA4" s="221" t="s">
        <v>22</v>
      </c>
      <c r="FB4" s="221" t="s">
        <v>9</v>
      </c>
      <c r="FC4" s="221" t="s">
        <v>77</v>
      </c>
      <c r="FD4" s="221" t="s">
        <v>9</v>
      </c>
      <c r="FE4" s="221" t="s">
        <v>22</v>
      </c>
      <c r="FF4" s="283" t="s">
        <v>9</v>
      </c>
      <c r="FG4" s="302" t="s">
        <v>22</v>
      </c>
      <c r="FH4" s="283" t="s">
        <v>107</v>
      </c>
      <c r="FJ4" s="221" t="s">
        <v>9</v>
      </c>
      <c r="FK4" s="221" t="s">
        <v>22</v>
      </c>
      <c r="FL4" s="221" t="s">
        <v>9</v>
      </c>
      <c r="FM4" s="221" t="s">
        <v>77</v>
      </c>
      <c r="FN4" s="221" t="s">
        <v>9</v>
      </c>
      <c r="FO4" s="221" t="s">
        <v>22</v>
      </c>
      <c r="FP4" s="283" t="s">
        <v>9</v>
      </c>
      <c r="FQ4" s="302" t="s">
        <v>22</v>
      </c>
      <c r="FR4" s="283" t="s">
        <v>107</v>
      </c>
      <c r="FT4" s="221" t="s">
        <v>9</v>
      </c>
      <c r="FU4" s="221" t="s">
        <v>22</v>
      </c>
      <c r="FV4" s="221" t="s">
        <v>9</v>
      </c>
      <c r="FW4" s="221" t="s">
        <v>77</v>
      </c>
      <c r="FX4" s="221" t="s">
        <v>9</v>
      </c>
      <c r="FY4" s="221" t="s">
        <v>22</v>
      </c>
      <c r="FZ4" s="283" t="s">
        <v>9</v>
      </c>
      <c r="GA4" s="302" t="s">
        <v>22</v>
      </c>
      <c r="GB4" s="283" t="s">
        <v>107</v>
      </c>
      <c r="GD4" s="221" t="s">
        <v>9</v>
      </c>
      <c r="GE4" s="221" t="s">
        <v>22</v>
      </c>
      <c r="GF4" s="221" t="s">
        <v>9</v>
      </c>
      <c r="GG4" s="221" t="s">
        <v>77</v>
      </c>
      <c r="GH4" s="221" t="s">
        <v>9</v>
      </c>
      <c r="GI4" s="221" t="s">
        <v>22</v>
      </c>
      <c r="GJ4" s="283" t="s">
        <v>9</v>
      </c>
      <c r="GK4" s="302" t="s">
        <v>22</v>
      </c>
      <c r="GL4" s="283" t="s">
        <v>107</v>
      </c>
      <c r="GN4" s="221" t="s">
        <v>9</v>
      </c>
      <c r="GO4" s="221" t="s">
        <v>22</v>
      </c>
      <c r="GP4" s="221" t="s">
        <v>9</v>
      </c>
      <c r="GQ4" s="221" t="s">
        <v>77</v>
      </c>
      <c r="GR4" s="221" t="s">
        <v>9</v>
      </c>
      <c r="GS4" s="221" t="s">
        <v>22</v>
      </c>
      <c r="GT4" s="283" t="s">
        <v>9</v>
      </c>
      <c r="GU4" s="302" t="s">
        <v>22</v>
      </c>
      <c r="GV4" s="283" t="s">
        <v>107</v>
      </c>
      <c r="GW4" s="253"/>
      <c r="GX4" s="257" t="s">
        <v>9</v>
      </c>
      <c r="GY4" s="257" t="s">
        <v>22</v>
      </c>
    </row>
    <row r="5" spans="2:208" ht="14.45" x14ac:dyDescent="0.3">
      <c r="B5" s="64">
        <v>0</v>
      </c>
      <c r="C5" s="67">
        <f>LARGE(Berechnung_Diagramme!$AB$5:$AB$16,1)</f>
        <v>22.77</v>
      </c>
      <c r="D5" s="66">
        <f t="shared" ref="D5:D36" si="0">73*((C5+C6)/2)</f>
        <v>1656.8455949999998</v>
      </c>
      <c r="F5" s="64">
        <v>0</v>
      </c>
      <c r="G5" s="68">
        <f>IF($C5&gt;=Wirtschaftlichkeit!$G$8,Wirtschaftlichkeit!$G$8,IF(AND($C5&lt;=Wirtschaftlichkeit!$G$8,$C5&gt;=Wirtschaftlichkeit!$G$8*Eingabemaske!$B$18),$C5,"0"))</f>
        <v>2.8333333333333335</v>
      </c>
      <c r="H5" s="64">
        <v>0</v>
      </c>
      <c r="I5" s="66">
        <f>73*((G5+G6)/2)</f>
        <v>206.83333333333334</v>
      </c>
      <c r="J5" s="64">
        <v>0</v>
      </c>
      <c r="K5" s="71">
        <f>IF(G5="0"," ",G5)</f>
        <v>2.8333333333333335</v>
      </c>
      <c r="L5" s="312">
        <v>0</v>
      </c>
      <c r="M5" s="286">
        <f>G5*Wirtschaftlichkeit!$G$5/Wirtschaftlichkeit!$G$7</f>
        <v>1</v>
      </c>
      <c r="N5" s="284">
        <f>73*((M5+M6)/2)</f>
        <v>73</v>
      </c>
      <c r="P5" s="222">
        <v>0</v>
      </c>
      <c r="Q5" s="225">
        <f>IF($C5&gt;=Wirtschaftlichkeit!$H$8,Wirtschaftlichkeit!$H$8,IF(AND($C5&lt;=Wirtschaftlichkeit!$H$8,$C5&gt;=Wirtschaftlichkeit!$H$8*Eingabemaske!$B$18),$C5,"0"))</f>
        <v>5.5876288659793811</v>
      </c>
      <c r="R5" s="222">
        <v>0</v>
      </c>
      <c r="S5" s="224">
        <f>73*((Q5+Q6)/2)</f>
        <v>407.89690721649481</v>
      </c>
      <c r="T5" s="222">
        <v>0</v>
      </c>
      <c r="U5" s="226">
        <f>IF(Q5="0"," ",Q5)</f>
        <v>5.5876288659793811</v>
      </c>
      <c r="V5" s="312">
        <v>0</v>
      </c>
      <c r="W5" s="286">
        <f>Q5*Wirtschaftlichkeit!$H$5/Wirtschaftlichkeit!$H$7</f>
        <v>2</v>
      </c>
      <c r="X5" s="284">
        <f>73*((W5+W6)/2)</f>
        <v>146</v>
      </c>
      <c r="Z5" s="222">
        <v>0</v>
      </c>
      <c r="AA5" s="225">
        <f>IF($C5&gt;=Wirtschaftlichkeit!$I$8,Wirtschaftlichkeit!$I$8,IF(AND($C5&lt;=Wirtschaftlichkeit!$I$8,$C5&gt;=Wirtschaftlichkeit!$I$8*Eingabemaske!$B$18),$C5,"0"))</f>
        <v>8.2471643149712612</v>
      </c>
      <c r="AB5" s="222">
        <v>0</v>
      </c>
      <c r="AC5" s="224">
        <f>73*((AA5+AA6)/2)</f>
        <v>602.04299499290209</v>
      </c>
      <c r="AD5" s="222">
        <v>0</v>
      </c>
      <c r="AE5" s="226">
        <f>IF(AA5="0"," ",AA5)</f>
        <v>8.2471643149712612</v>
      </c>
      <c r="AF5" s="312">
        <v>0</v>
      </c>
      <c r="AG5" s="286">
        <f>AA5*Wirtschaftlichkeit!$I$5/Wirtschaftlichkeit!$I$7</f>
        <v>3.0000000000000004</v>
      </c>
      <c r="AH5" s="284">
        <f>73*((AG5+AG6)/2)</f>
        <v>219.00000000000003</v>
      </c>
      <c r="AJ5" s="222">
        <v>0</v>
      </c>
      <c r="AK5" s="225">
        <f>IF($C5&gt;=Wirtschaftlichkeit!$J$8,Wirtschaftlichkeit!$J$8,IF(AND($C5&lt;=Wirtschaftlichkeit!$J$8,$C5&gt;=Wirtschaftlichkeit!$J$8*Eingabemaske!$B$18),$C5,"0"))</f>
        <v>10.537455322965799</v>
      </c>
      <c r="AL5" s="222">
        <v>0</v>
      </c>
      <c r="AM5" s="224">
        <f>73*((AK5+AK6)/2)</f>
        <v>769.23423857650334</v>
      </c>
      <c r="AN5" s="222">
        <v>0</v>
      </c>
      <c r="AO5" s="226">
        <f>IF(AK5="0"," ",AK5)</f>
        <v>10.537455322965799</v>
      </c>
      <c r="AP5" s="312">
        <v>0</v>
      </c>
      <c r="AQ5" s="286">
        <f>AK5*Wirtschaftlichkeit!$J$5/Wirtschaftlichkeit!$J$7</f>
        <v>4</v>
      </c>
      <c r="AR5" s="284">
        <f>73*((AQ5+AQ6)/2)</f>
        <v>292</v>
      </c>
      <c r="AT5" s="222">
        <v>0</v>
      </c>
      <c r="AU5" s="225">
        <f>IF($C5&gt;=Wirtschaftlichkeit!$K$8,Wirtschaftlichkeit!$K$8,IF(AND($C5&lt;=Wirtschaftlichkeit!$K$8,$C5&gt;=Wirtschaftlichkeit!$K$8*Eingabemaske!$B$18),$C5,"0"))</f>
        <v>12.739122166763016</v>
      </c>
      <c r="AV5" s="222">
        <v>0</v>
      </c>
      <c r="AW5" s="224">
        <f>73*((AU5+AU6)/2)</f>
        <v>929.95591817370018</v>
      </c>
      <c r="AX5" s="222">
        <v>0</v>
      </c>
      <c r="AY5" s="226">
        <f>IF(AU5="0"," ",AU5)</f>
        <v>12.739122166763016</v>
      </c>
      <c r="AZ5" s="312">
        <v>0</v>
      </c>
      <c r="BA5" s="286">
        <f>AU5*Wirtschaftlichkeit!$K$5/Wirtschaftlichkeit!$K$7</f>
        <v>5</v>
      </c>
      <c r="BB5" s="284">
        <f>73*((BA5+BA6)/2)</f>
        <v>365</v>
      </c>
      <c r="BD5" s="222">
        <v>0</v>
      </c>
      <c r="BE5" s="225">
        <f>IF($C5&gt;=Wirtschaftlichkeit!$L$8,Wirtschaftlichkeit!$L$8,IF(AND($C5&lt;=Wirtschaftlichkeit!$L$8,$C5&gt;=Wirtschaftlichkeit!$L$8*Eingabemaske!$B$18),$C5,"0"))</f>
        <v>14.87189090675227</v>
      </c>
      <c r="BF5" s="222">
        <v>0</v>
      </c>
      <c r="BG5" s="224">
        <f>73*((BE5+BE6)/2)</f>
        <v>1085.6480361929157</v>
      </c>
      <c r="BH5" s="222">
        <v>0</v>
      </c>
      <c r="BI5" s="226">
        <f>IF(BE5="0"," ",BE5)</f>
        <v>14.87189090675227</v>
      </c>
      <c r="BJ5" s="312">
        <v>0</v>
      </c>
      <c r="BK5" s="286">
        <f>BE5*Wirtschaftlichkeit!$L$5/Wirtschaftlichkeit!$L$7</f>
        <v>6</v>
      </c>
      <c r="BL5" s="284">
        <f>73*((BK5+BK6)/2)</f>
        <v>438</v>
      </c>
      <c r="BN5" s="222">
        <v>0</v>
      </c>
      <c r="BO5" s="225">
        <f>IF($C5&gt;=Wirtschaftlichkeit!$M$8,Wirtschaftlichkeit!$M$8,IF(AND($C5&lt;=Wirtschaftlichkeit!$M$8,$C5&gt;=Wirtschaftlichkeit!$M$8*Eingabemaske!$B$18),$C5,"0"))</f>
        <v>16.948500863015312</v>
      </c>
      <c r="BP5" s="222">
        <v>0</v>
      </c>
      <c r="BQ5" s="224">
        <f>73*((BO5+BO6)/2)</f>
        <v>1237.2405630001178</v>
      </c>
      <c r="BR5" s="222">
        <v>0</v>
      </c>
      <c r="BS5" s="226">
        <f>IF(BO5="0"," ",BO5)</f>
        <v>16.948500863015312</v>
      </c>
      <c r="BT5" s="312">
        <v>0</v>
      </c>
      <c r="BU5" s="286">
        <f>BO5*Wirtschaftlichkeit!$M$5/Wirtschaftlichkeit!$M$7</f>
        <v>7</v>
      </c>
      <c r="BV5" s="284">
        <f>73*((BU5+BU6)/2)</f>
        <v>511</v>
      </c>
      <c r="BX5" s="222">
        <v>0</v>
      </c>
      <c r="BY5" s="225">
        <f>IF($C5&gt;=Wirtschaftlichkeit!$N$8,Wirtschaftlichkeit!$N$8,IF(AND($C5&lt;=Wirtschaftlichkeit!$N$8,$C5&gt;=Wirtschaftlichkeit!$N$8*Eingabemaske!$B$18),$C5,"0"))</f>
        <v>18.977838419132468</v>
      </c>
      <c r="BZ5" s="222">
        <v>0</v>
      </c>
      <c r="CA5" s="224">
        <f>73*((BY5+BY6)/2)</f>
        <v>1385.3822045966701</v>
      </c>
      <c r="CB5" s="222">
        <v>0</v>
      </c>
      <c r="CC5" s="226">
        <f>IF(BY5="0"," ",BY5)</f>
        <v>18.977838419132468</v>
      </c>
      <c r="CD5" s="312">
        <v>0</v>
      </c>
      <c r="CE5" s="286">
        <f>BY5*Wirtschaftlichkeit!$N$5/Wirtschaftlichkeit!$N$7</f>
        <v>8</v>
      </c>
      <c r="CF5" s="284">
        <f>73*((CE5+CE6)/2)</f>
        <v>584</v>
      </c>
      <c r="CH5" s="222">
        <v>0</v>
      </c>
      <c r="CI5" s="225">
        <f>IF($C5&gt;=Wirtschaftlichkeit!$O$8,Wirtschaftlichkeit!$O$8,IF(AND($C5&lt;=Wirtschaftlichkeit!$O$8,$C5&gt;=Wirtschaftlichkeit!$O$8*Eingabemaske!$B$18),$C5,"0"))</f>
        <v>20.966443256074175</v>
      </c>
      <c r="CJ5" s="222">
        <v>0</v>
      </c>
      <c r="CK5" s="224">
        <f>73*((CI5+CI6)/2)</f>
        <v>1530.5503576934148</v>
      </c>
      <c r="CL5" s="222">
        <v>0</v>
      </c>
      <c r="CM5" s="226">
        <f>IF(CI5="0"," ",CI5)</f>
        <v>20.966443256074175</v>
      </c>
      <c r="CN5" s="312">
        <v>0</v>
      </c>
      <c r="CO5" s="286">
        <f>CI5*Wirtschaftlichkeit!$O$5/Wirtschaftlichkeit!$O$7</f>
        <v>9</v>
      </c>
      <c r="CP5" s="284">
        <f>73*((CO5+CO6)/2)</f>
        <v>657</v>
      </c>
      <c r="CR5" s="222">
        <v>0</v>
      </c>
      <c r="CS5" s="225">
        <f>IF($C5&gt;=Wirtschaftlichkeit!$P$8,Wirtschaftlichkeit!$P$8,IF(AND($C5&lt;=Wirtschaftlichkeit!$P$8,$C5&gt;=Wirtschaftlichkeit!$P$8*Eingabemaske!$B$18),$C5,"0"))</f>
        <v>22.77</v>
      </c>
      <c r="CT5" s="222">
        <v>0</v>
      </c>
      <c r="CU5" s="224">
        <f>73*((CS5+CS6)/2)</f>
        <v>1656.8455949999998</v>
      </c>
      <c r="CV5" s="222">
        <v>0</v>
      </c>
      <c r="CW5" s="226">
        <f>IF(CS5="0"," ",CS5)</f>
        <v>22.77</v>
      </c>
      <c r="CX5" s="312">
        <v>0</v>
      </c>
      <c r="CY5" s="286">
        <f>CS5*Wirtschaftlichkeit!$P$5/Wirtschaftlichkeit!$P$7</f>
        <v>9.934848897606896</v>
      </c>
      <c r="CZ5" s="284">
        <f>73*((CY5+CY6)/2)</f>
        <v>722.90340944183549</v>
      </c>
      <c r="DB5" s="222">
        <v>0</v>
      </c>
      <c r="DC5" s="225">
        <f>IF($C5&gt;=Wirtschaftlichkeit!$Q$8,Wirtschaftlichkeit!$Q$8,IF(AND($C5&lt;=Wirtschaftlichkeit!$Q$8,$C5&gt;=Wirtschaftlichkeit!$Q$8*Eingabemaske!$B$18),$C5,"0"))</f>
        <v>22.77</v>
      </c>
      <c r="DD5" s="222">
        <v>0</v>
      </c>
      <c r="DE5" s="224">
        <f>73*((DC5+DC6)/2)</f>
        <v>1656.8455949999998</v>
      </c>
      <c r="DF5" s="222">
        <v>0</v>
      </c>
      <c r="DG5" s="226">
        <f>IF(DC5="0"," ",DC5)</f>
        <v>22.77</v>
      </c>
      <c r="DH5" s="312">
        <v>0</v>
      </c>
      <c r="DI5" s="286">
        <f>DC5*Wirtschaftlichkeit!$Q$5/Wirtschaftlichkeit!$Q$7</f>
        <v>10.425686008768182</v>
      </c>
      <c r="DJ5" s="284">
        <f>73*((DI5+DI6)/2)</f>
        <v>758.61888179537516</v>
      </c>
      <c r="DL5" s="222">
        <v>0</v>
      </c>
      <c r="DM5" s="225">
        <f>IF($C5&gt;=Wirtschaftlichkeit!$R$8,Wirtschaftlichkeit!$R$8,IF(AND($C5&lt;=Wirtschaftlichkeit!$R$8,$C5&gt;=Wirtschaftlichkeit!$R$8*Eingabemaske!$B$18),$C5,"0"))</f>
        <v>22.77</v>
      </c>
      <c r="DN5" s="222">
        <v>0</v>
      </c>
      <c r="DO5" s="224">
        <f>73*((DM5+DM6)/2)</f>
        <v>1656.8455949999998</v>
      </c>
      <c r="DP5" s="222">
        <v>0</v>
      </c>
      <c r="DQ5" s="226">
        <f>IF(DM5="0"," ",DM5)</f>
        <v>22.77</v>
      </c>
      <c r="DR5" s="312">
        <v>0</v>
      </c>
      <c r="DS5" s="286">
        <f>DM5*Wirtschaftlichkeit!$R$5/Wirtschaftlichkeit!$R$7</f>
        <v>10.563352324843608</v>
      </c>
      <c r="DT5" s="284">
        <f>73*((DS5+DS6)/2)</f>
        <v>768.63608993632602</v>
      </c>
      <c r="DV5" s="222">
        <v>0</v>
      </c>
      <c r="DW5" s="225">
        <f>IF($C5&gt;=Wirtschaftlichkeit!$S$8,Wirtschaftlichkeit!$S$8,IF(AND($C5&lt;=Wirtschaftlichkeit!$S$8,$C5&gt;=Wirtschaftlichkeit!$S$8*Eingabemaske!$B$18),$C5,"0"))</f>
        <v>22.77</v>
      </c>
      <c r="DX5" s="222">
        <v>0</v>
      </c>
      <c r="DY5" s="224">
        <f>73*((DW5+DW6)/2)</f>
        <v>1656.8455949999998</v>
      </c>
      <c r="DZ5" s="222">
        <v>0</v>
      </c>
      <c r="EA5" s="226">
        <f>IF(DW5="0"," ",DW5)</f>
        <v>22.77</v>
      </c>
      <c r="EB5" s="312">
        <v>0</v>
      </c>
      <c r="EC5" s="286">
        <f>DW5*Wirtschaftlichkeit!$S$5/Wirtschaftlichkeit!$S$7</f>
        <v>10.692114571206579</v>
      </c>
      <c r="ED5" s="284">
        <f>73*((EC5+EC6)/2)</f>
        <v>778.00539870614557</v>
      </c>
      <c r="EF5" s="222">
        <v>0</v>
      </c>
      <c r="EG5" s="225">
        <f>IF($C5&gt;=Wirtschaftlichkeit!$T$8,Wirtschaftlichkeit!$T$8,IF(AND($C5&lt;=Wirtschaftlichkeit!$T$8,$C5&gt;=Wirtschaftlichkeit!$T$8*Eingabemaske!$B$18),$C5,"0"))</f>
        <v>22.77</v>
      </c>
      <c r="EH5" s="222">
        <v>0</v>
      </c>
      <c r="EI5" s="224">
        <f>73*((EG5+EG6)/2)</f>
        <v>1656.8455949999998</v>
      </c>
      <c r="EJ5" s="222">
        <v>0</v>
      </c>
      <c r="EK5" s="226">
        <f>IF(EG5="0"," ",EG5)</f>
        <v>22.77</v>
      </c>
      <c r="EL5" s="312">
        <v>0</v>
      </c>
      <c r="EM5" s="286">
        <f>EG5*Wirtschaftlichkeit!$T$5/Wirtschaftlichkeit!$T$7</f>
        <v>10.813182423087495</v>
      </c>
      <c r="EN5" s="284">
        <f>73*((EM5+EM6)/2)</f>
        <v>786.81482940816613</v>
      </c>
      <c r="EP5" s="222">
        <v>0</v>
      </c>
      <c r="EQ5" s="225">
        <f>IF($C5&gt;=Wirtschaftlichkeit!$U$8,Wirtschaftlichkeit!$U$8,IF(AND($C5&lt;=Wirtschaftlichkeit!$U$8,$C5&gt;=Wirtschaftlichkeit!$U$8*Eingabemaske!$B$18),$C5,"0"))</f>
        <v>22.77</v>
      </c>
      <c r="ER5" s="222">
        <v>0</v>
      </c>
      <c r="ES5" s="224">
        <f>73*((EQ5+EQ6)/2)</f>
        <v>1656.8455949999998</v>
      </c>
      <c r="ET5" s="222">
        <v>0</v>
      </c>
      <c r="EU5" s="226">
        <f>IF(EQ5="0"," ",EQ5)</f>
        <v>22.77</v>
      </c>
      <c r="EV5" s="312">
        <v>0</v>
      </c>
      <c r="EW5" s="286">
        <f>EQ5*Wirtschaftlichkeit!$U$5/Wirtschaftlichkeit!$U$7</f>
        <v>10.927528028978484</v>
      </c>
      <c r="EX5" s="284">
        <f>73*((EW5+EW6)/2)</f>
        <v>795.13511985296589</v>
      </c>
      <c r="EZ5" s="222">
        <v>0</v>
      </c>
      <c r="FA5" s="225">
        <f>IF($C5&gt;=Wirtschaftlichkeit!$V$8,Wirtschaftlichkeit!$V$8,IF(AND($C5&lt;=Wirtschaftlichkeit!$V$8,$C5&gt;=Wirtschaftlichkeit!$V$8*Eingabemaske!$B$18),$C5,"0"))</f>
        <v>22.77</v>
      </c>
      <c r="FB5" s="222">
        <v>0</v>
      </c>
      <c r="FC5" s="224">
        <f>73*((FA5+FA6)/2)</f>
        <v>1656.8455949999998</v>
      </c>
      <c r="FD5" s="222">
        <v>0</v>
      </c>
      <c r="FE5" s="226">
        <f>IF(FA5="0"," ",FA5)</f>
        <v>22.77</v>
      </c>
      <c r="FF5" s="312">
        <v>0</v>
      </c>
      <c r="FG5" s="286">
        <f>FA5*Wirtschaftlichkeit!$V$5/Wirtschaftlichkeit!$V$7</f>
        <v>11.035945125500836</v>
      </c>
      <c r="FH5" s="284">
        <f>73*((FG5+FG6)/2)</f>
        <v>803.02402581676688</v>
      </c>
      <c r="FJ5" s="222">
        <v>0</v>
      </c>
      <c r="FK5" s="225">
        <f>IF($C5&gt;=Wirtschaftlichkeit!$W$8,Wirtschaftlichkeit!$W$8,IF(AND($C5&lt;=Wirtschaftlichkeit!$W$8,$C5&gt;=Wirtschaftlichkeit!$W$8*Eingabemaske!$B$18),$C5,"0"))</f>
        <v>22.77</v>
      </c>
      <c r="FL5" s="222">
        <v>0</v>
      </c>
      <c r="FM5" s="224">
        <f>73*((FK5+FK6)/2)</f>
        <v>1656.8455949999998</v>
      </c>
      <c r="FN5" s="222">
        <v>0</v>
      </c>
      <c r="FO5" s="226">
        <f>IF(FK5="0"," ",FK5)</f>
        <v>22.77</v>
      </c>
      <c r="FP5" s="312">
        <v>0</v>
      </c>
      <c r="FQ5" s="286">
        <f>FK5*Wirtschaftlichkeit!$W$5/Wirtschaftlichkeit!$W$7</f>
        <v>11.13909071616655</v>
      </c>
      <c r="FR5" s="284">
        <f>73*((FQ5+FQ6)/2)</f>
        <v>810.52935377189033</v>
      </c>
      <c r="FT5" s="222">
        <v>0</v>
      </c>
      <c r="FU5" s="225">
        <f>IF($C5&gt;=Wirtschaftlichkeit!$X$8,Wirtschaftlichkeit!$X$8,IF(AND($C5&lt;=Wirtschaftlichkeit!$X$8,$C5&gt;=Wirtschaftlichkeit!$X$8*Eingabemaske!$B$18),$C5,"0"))</f>
        <v>22.77</v>
      </c>
      <c r="FV5" s="222">
        <v>0</v>
      </c>
      <c r="FW5" s="224">
        <f>73*((FU5+FU6)/2)</f>
        <v>1656.8455949999998</v>
      </c>
      <c r="FX5" s="222">
        <v>0</v>
      </c>
      <c r="FY5" s="226">
        <f>IF(FU5="0"," ",FU5)</f>
        <v>22.77</v>
      </c>
      <c r="FZ5" s="312">
        <v>0</v>
      </c>
      <c r="GA5" s="286">
        <f>FU5*Wirtschaftlichkeit!$X$5/Wirtschaftlichkeit!$X$7</f>
        <v>11.237515167615257</v>
      </c>
      <c r="GB5" s="284">
        <f>73*((GA5+GA6)/2)</f>
        <v>817.6911508216524</v>
      </c>
      <c r="GD5" s="222">
        <v>0</v>
      </c>
      <c r="GE5" s="225">
        <f>IF($C5&gt;=Wirtschaftlichkeit!$Y$8,Wirtschaftlichkeit!$Y$8,IF(AND($C5&lt;=Wirtschaftlichkeit!$Y$8,$C5&gt;=Wirtschaftlichkeit!$Y$8*Eingabemaske!$B$18),$C5,"0"))</f>
        <v>22.77</v>
      </c>
      <c r="GF5" s="222">
        <v>0</v>
      </c>
      <c r="GG5" s="224">
        <f>73*((GE5+GE6)/2)</f>
        <v>1656.8455949999998</v>
      </c>
      <c r="GH5" s="222">
        <v>0</v>
      </c>
      <c r="GI5" s="226">
        <f>IF(GE5="0"," ",GE5)</f>
        <v>22.77</v>
      </c>
      <c r="GJ5" s="312">
        <v>0</v>
      </c>
      <c r="GK5" s="286">
        <f>GE5*Wirtschaftlichkeit!$Y$5/Wirtschaftlichkeit!$Y$7</f>
        <v>11.331684399145473</v>
      </c>
      <c r="GL5" s="284">
        <f>73*((GK5+GK6)/2)</f>
        <v>824.54331930849355</v>
      </c>
      <c r="GN5" s="222">
        <v>0</v>
      </c>
      <c r="GO5" s="225">
        <f>IF($C5&gt;=Wirtschaftlichkeit!$Z$8,Wirtschaftlichkeit!$Z$8,IF(AND($C5&lt;=Wirtschaftlichkeit!$Z$8,$C5&gt;=Wirtschaftlichkeit!$Z$8*Eingabemaske!$B$18),$C5,"0"))</f>
        <v>22.77</v>
      </c>
      <c r="GP5" s="222">
        <v>0</v>
      </c>
      <c r="GQ5" s="224">
        <f>73*((GO5+GO6)/2)</f>
        <v>1656.8455949999998</v>
      </c>
      <c r="GR5" s="222">
        <v>0</v>
      </c>
      <c r="GS5" s="226">
        <f>IF(GO5="0"," ",GO5)</f>
        <v>22.77</v>
      </c>
      <c r="GT5" s="312">
        <v>0</v>
      </c>
      <c r="GU5" s="286">
        <f>GO5*Wirtschaftlichkeit!$Z$5/Wirtschaftlichkeit!$Z$7</f>
        <v>11.421996544745335</v>
      </c>
      <c r="GV5" s="284">
        <f>73*((GU5+GU6)/2)</f>
        <v>831.11482921679976</v>
      </c>
      <c r="GW5" s="266"/>
      <c r="GX5" s="258">
        <v>0</v>
      </c>
      <c r="GY5" s="259">
        <f>IF(Berechnung_Diagramme!$C$28=Berechnungen_Lastgang!$F$2,Berechnungen_Lastgang!G5,IF(Berechnung_Diagramme!$C$28=Berechnungen_Lastgang!$P$2,Berechnungen_Lastgang!Q5,IF(Berechnung_Diagramme!$C$28=Berechnungen_Lastgang!$Z$2,Berechnungen_Lastgang!AA5,IF(Berechnung_Diagramme!$C$28=Berechnungen_Lastgang!$AJ$2,Berechnungen_Lastgang!AK5,IF(Berechnung_Diagramme!$C$28=Berechnungen_Lastgang!$AT$2,Berechnungen_Lastgang!AU5,IF(Berechnung_Diagramme!$C$28=Berechnungen_Lastgang!$BD$2,Berechnungen_Lastgang!BE5,IF(Berechnung_Diagramme!$C$28=Berechnungen_Lastgang!$BN$2,Berechnungen_Lastgang!BO5,IF(Berechnung_Diagramme!$C$28=Berechnungen_Lastgang!$BX$2,Berechnungen_Lastgang!BY5,IF(Berechnung_Diagramme!$C$28=Berechnungen_Lastgang!$CH$2,Berechnungen_Lastgang!CI5,IF(Berechnung_Diagramme!$C$28=Berechnungen_Lastgang!$CR$2,Berechnungen_Lastgang!CS5,IF(Berechnung_Diagramme!$C$28=Berechnungen_Lastgang!$DB$2,Berechnungen_Lastgang!DC5,IF(Berechnung_Diagramme!$C$28=Berechnungen_Lastgang!$DL$2,Berechnungen_Lastgang!DM5,IF(Berechnung_Diagramme!$C$28=Berechnungen_Lastgang!$DV$2,Berechnungen_Lastgang!DW5,IF(Berechnung_Diagramme!$C$28=Berechnungen_Lastgang!$EF$2,Berechnungen_Lastgang!EG5,IF(Berechnung_Diagramme!$C$28=Berechnungen_Lastgang!$EP$2,Berechnungen_Lastgang!EQ5,IF(Berechnung_Diagramme!$C$28=Berechnungen_Lastgang!$EZ$2,Berechnungen_Lastgang!FA5,IF(Berechnung_Diagramme!$C$28=Berechnungen_Lastgang!$FJ$2,Berechnungen_Lastgang!FK5,IF(Berechnung_Diagramme!$C$28=Berechnungen_Lastgang!$FT$2,Berechnungen_Lastgang!FU5,IF(Berechnung_Diagramme!$C$28=Berechnungen_Lastgang!$GD$2,Berechnungen_Lastgang!GE5,IF(Berechnung_Diagramme!$C$28=Berechnungen_Lastgang!$GN$2,Berechnungen_Lastgang!GO5,""))))))))))))))))))))</f>
        <v>20.966443256074175</v>
      </c>
      <c r="GZ5" s="269">
        <f>IF(Berechnung_Diagramme!$C$28=Berechnungen_Lastgang!$F$2,Berechnungen_Lastgang!I126,IF(Berechnung_Diagramme!$C$28=Berechnungen_Lastgang!$P$2,Berechnungen_Lastgang!S126,IF(Berechnung_Diagramme!$C$28=Berechnungen_Lastgang!$Z$2,Berechnungen_Lastgang!AC126,IF(Berechnung_Diagramme!$C$28=Berechnungen_Lastgang!$AJ$2,Berechnungen_Lastgang!AM126,IF(Berechnung_Diagramme!$C$28=Berechnungen_Lastgang!$AT$2,Berechnungen_Lastgang!AW126,IF(Berechnung_Diagramme!$C$28=Berechnungen_Lastgang!$BD$2,Berechnungen_Lastgang!BG126,IF(Berechnung_Diagramme!$C$28=Berechnungen_Lastgang!$BN$2,Berechnungen_Lastgang!BQ126,IF(Berechnung_Diagramme!$C$28=Berechnungen_Lastgang!$BX$2,Berechnungen_Lastgang!CA126,IF(Berechnung_Diagramme!$C$28=Berechnungen_Lastgang!$CH$2,Berechnungen_Lastgang!CK126,IF(Berechnung_Diagramme!$C$28=Berechnungen_Lastgang!$CR$2,Berechnungen_Lastgang!CU126,IF(Berechnung_Diagramme!$C$28=Berechnungen_Lastgang!$DB$2,Berechnungen_Lastgang!DE126,IF(Berechnung_Diagramme!$C$28=Berechnungen_Lastgang!$DL$2,Berechnungen_Lastgang!DO126,IF(Berechnung_Diagramme!$C$28=Berechnungen_Lastgang!$DV$2,Berechnungen_Lastgang!DY126,IF(Berechnung_Diagramme!$C$28=Berechnungen_Lastgang!$EF$2,Berechnungen_Lastgang!EI126,IF(Berechnung_Diagramme!$C$28=Berechnungen_Lastgang!$EP$2,Berechnungen_Lastgang!ES126,IF(Berechnung_Diagramme!$C$28=Berechnungen_Lastgang!$EZ$2,Berechnungen_Lastgang!FC126,IF(Berechnung_Diagramme!$C$28=Berechnungen_Lastgang!$FJ$2,Berechnungen_Lastgang!FM126,IF(Berechnung_Diagramme!$C$28=Berechnungen_Lastgang!$FT$2,Berechnungen_Lastgang!FW126,IF(Berechnung_Diagramme!$C$28=Berechnungen_Lastgang!$GD$2,Berechnungen_Lastgang!GG126,IF(Berechnung_Diagramme!$C$28=Berechnungen_Lastgang!$GN$2,Berechnungen_Lastgang!GQ126,""))))))))))))))))))))</f>
        <v>79492.275202714955</v>
      </c>
    </row>
    <row r="6" spans="2:208" ht="14.45" x14ac:dyDescent="0.3">
      <c r="B6" s="64">
        <v>73</v>
      </c>
      <c r="C6" s="67">
        <f>C5+((C10-C5)/(B10-B5))*(B6-B5)</f>
        <v>22.62303</v>
      </c>
      <c r="D6" s="66">
        <f t="shared" si="0"/>
        <v>1646.1167850000002</v>
      </c>
      <c r="F6" s="64">
        <v>73</v>
      </c>
      <c r="G6" s="225">
        <f>IF($C6&gt;=Wirtschaftlichkeit!$G$8,Wirtschaftlichkeit!$G$8,IF(AND($C6&lt;=Wirtschaftlichkeit!$G$8,$C6&gt;=Wirtschaftlichkeit!$G$8*Eingabemaske!$B$18),$C6,"0"))</f>
        <v>2.8333333333333335</v>
      </c>
      <c r="H6" s="64">
        <v>73</v>
      </c>
      <c r="I6" s="66">
        <f t="shared" ref="I6:I36" si="1">73*((G6+G7)/2)</f>
        <v>206.83333333333334</v>
      </c>
      <c r="J6" s="64">
        <v>73</v>
      </c>
      <c r="K6" s="71">
        <f t="shared" ref="K6:K36" si="2">IF(G6="0"," ",G6)</f>
        <v>2.8333333333333335</v>
      </c>
      <c r="L6" s="312">
        <v>73</v>
      </c>
      <c r="M6" s="286">
        <f>G6*Wirtschaftlichkeit!$G$5/Wirtschaftlichkeit!$G$7</f>
        <v>1</v>
      </c>
      <c r="N6" s="284">
        <f t="shared" ref="N6:N69" si="3">73*((M6+M7)/2)</f>
        <v>73</v>
      </c>
      <c r="P6" s="222">
        <v>73</v>
      </c>
      <c r="Q6" s="225">
        <f>IF($C6&gt;=Wirtschaftlichkeit!$H$8,Wirtschaftlichkeit!$H$8,IF(AND($C6&lt;=Wirtschaftlichkeit!$H$8,$C6&gt;=Wirtschaftlichkeit!$H$8*Eingabemaske!$B$18),$C6,"0"))</f>
        <v>5.5876288659793811</v>
      </c>
      <c r="R6" s="222">
        <v>73</v>
      </c>
      <c r="S6" s="224">
        <f t="shared" ref="S6:S69" si="4">73*((Q6+Q7)/2)</f>
        <v>407.89690721649481</v>
      </c>
      <c r="T6" s="222">
        <v>73</v>
      </c>
      <c r="U6" s="226">
        <f t="shared" ref="U6:U69" si="5">IF(Q6="0"," ",Q6)</f>
        <v>5.5876288659793811</v>
      </c>
      <c r="V6" s="312">
        <v>73</v>
      </c>
      <c r="W6" s="286">
        <f>Q6*Wirtschaftlichkeit!$H$5/Wirtschaftlichkeit!$H$7</f>
        <v>2</v>
      </c>
      <c r="X6" s="284">
        <f t="shared" ref="X6:X69" si="6">73*((W6+W7)/2)</f>
        <v>146</v>
      </c>
      <c r="Z6" s="222">
        <v>73</v>
      </c>
      <c r="AA6" s="225">
        <f>IF($C6&gt;=Wirtschaftlichkeit!$I$8,Wirtschaftlichkeit!$I$8,IF(AND($C6&lt;=Wirtschaftlichkeit!$I$8,$C6&gt;=Wirtschaftlichkeit!$I$8*Eingabemaske!$B$18),$C6,"0"))</f>
        <v>8.2471643149712612</v>
      </c>
      <c r="AB6" s="222">
        <v>73</v>
      </c>
      <c r="AC6" s="224">
        <f t="shared" ref="AC6:AC69" si="7">73*((AA6+AA7)/2)</f>
        <v>602.04299499290209</v>
      </c>
      <c r="AD6" s="222">
        <v>73</v>
      </c>
      <c r="AE6" s="226">
        <f t="shared" ref="AE6:AE69" si="8">IF(AA6="0"," ",AA6)</f>
        <v>8.2471643149712612</v>
      </c>
      <c r="AF6" s="312">
        <v>73</v>
      </c>
      <c r="AG6" s="286">
        <f>AA6*Wirtschaftlichkeit!$I$5/Wirtschaftlichkeit!$I$7</f>
        <v>3.0000000000000004</v>
      </c>
      <c r="AH6" s="284">
        <f t="shared" ref="AH6:AH69" si="9">73*((AG6+AG7)/2)</f>
        <v>219.00000000000003</v>
      </c>
      <c r="AJ6" s="222">
        <v>73</v>
      </c>
      <c r="AK6" s="225">
        <f>IF($C6&gt;=Wirtschaftlichkeit!$J$8,Wirtschaftlichkeit!$J$8,IF(AND($C6&lt;=Wirtschaftlichkeit!$J$8,$C6&gt;=Wirtschaftlichkeit!$J$8*Eingabemaske!$B$18),$C6,"0"))</f>
        <v>10.537455322965799</v>
      </c>
      <c r="AL6" s="222">
        <v>73</v>
      </c>
      <c r="AM6" s="224">
        <f t="shared" ref="AM6:AM69" si="10">73*((AK6+AK7)/2)</f>
        <v>769.23423857650334</v>
      </c>
      <c r="AN6" s="222">
        <v>73</v>
      </c>
      <c r="AO6" s="226">
        <f t="shared" ref="AO6:AO69" si="11">IF(AK6="0"," ",AK6)</f>
        <v>10.537455322965799</v>
      </c>
      <c r="AP6" s="312">
        <v>73</v>
      </c>
      <c r="AQ6" s="286">
        <f>AK6*Wirtschaftlichkeit!$J$5/Wirtschaftlichkeit!$J$7</f>
        <v>4</v>
      </c>
      <c r="AR6" s="284">
        <f t="shared" ref="AR6:AR69" si="12">73*((AQ6+AQ7)/2)</f>
        <v>292</v>
      </c>
      <c r="AT6" s="222">
        <v>73</v>
      </c>
      <c r="AU6" s="225">
        <f>IF($C6&gt;=Wirtschaftlichkeit!$K$8,Wirtschaftlichkeit!$K$8,IF(AND($C6&lt;=Wirtschaftlichkeit!$K$8,$C6&gt;=Wirtschaftlichkeit!$K$8*Eingabemaske!$B$18),$C6,"0"))</f>
        <v>12.739122166763016</v>
      </c>
      <c r="AV6" s="222">
        <v>73</v>
      </c>
      <c r="AW6" s="224">
        <f t="shared" ref="AW6:AW69" si="13">73*((AU6+AU7)/2)</f>
        <v>929.95591817370018</v>
      </c>
      <c r="AX6" s="222">
        <v>73</v>
      </c>
      <c r="AY6" s="226">
        <f t="shared" ref="AY6:AY69" si="14">IF(AU6="0"," ",AU6)</f>
        <v>12.739122166763016</v>
      </c>
      <c r="AZ6" s="312">
        <v>73</v>
      </c>
      <c r="BA6" s="286">
        <f>AU6*Wirtschaftlichkeit!$K$5/Wirtschaftlichkeit!$K$7</f>
        <v>5</v>
      </c>
      <c r="BB6" s="284">
        <f t="shared" ref="BB6:BB69" si="15">73*((BA6+BA7)/2)</f>
        <v>365</v>
      </c>
      <c r="BD6" s="222">
        <v>73</v>
      </c>
      <c r="BE6" s="225">
        <f>IF($C6&gt;=Wirtschaftlichkeit!$L$8,Wirtschaftlichkeit!$L$8,IF(AND($C6&lt;=Wirtschaftlichkeit!$L$8,$C6&gt;=Wirtschaftlichkeit!$L$8*Eingabemaske!$B$18),$C6,"0"))</f>
        <v>14.87189090675227</v>
      </c>
      <c r="BF6" s="222">
        <v>73</v>
      </c>
      <c r="BG6" s="224">
        <f t="shared" ref="BG6:BG69" si="16">73*((BE6+BE7)/2)</f>
        <v>1085.6480361929157</v>
      </c>
      <c r="BH6" s="222">
        <v>73</v>
      </c>
      <c r="BI6" s="226">
        <f t="shared" ref="BI6:BI69" si="17">IF(BE6="0"," ",BE6)</f>
        <v>14.87189090675227</v>
      </c>
      <c r="BJ6" s="312">
        <v>73</v>
      </c>
      <c r="BK6" s="286">
        <f>BE6*Wirtschaftlichkeit!$L$5/Wirtschaftlichkeit!$L$7</f>
        <v>6</v>
      </c>
      <c r="BL6" s="284">
        <f t="shared" ref="BL6:BL69" si="18">73*((BK6+BK7)/2)</f>
        <v>438</v>
      </c>
      <c r="BN6" s="222">
        <v>73</v>
      </c>
      <c r="BO6" s="225">
        <f>IF($C6&gt;=Wirtschaftlichkeit!$M$8,Wirtschaftlichkeit!$M$8,IF(AND($C6&lt;=Wirtschaftlichkeit!$M$8,$C6&gt;=Wirtschaftlichkeit!$M$8*Eingabemaske!$B$18),$C6,"0"))</f>
        <v>16.948500863015312</v>
      </c>
      <c r="BP6" s="222">
        <v>73</v>
      </c>
      <c r="BQ6" s="224">
        <f t="shared" ref="BQ6:BQ69" si="19">73*((BO6+BO7)/2)</f>
        <v>1237.2405630001178</v>
      </c>
      <c r="BR6" s="222">
        <v>73</v>
      </c>
      <c r="BS6" s="226">
        <f t="shared" ref="BS6:BS69" si="20">IF(BO6="0"," ",BO6)</f>
        <v>16.948500863015312</v>
      </c>
      <c r="BT6" s="312">
        <v>73</v>
      </c>
      <c r="BU6" s="286">
        <f>BO6*Wirtschaftlichkeit!$M$5/Wirtschaftlichkeit!$M$7</f>
        <v>7</v>
      </c>
      <c r="BV6" s="284">
        <f t="shared" ref="BV6:BV69" si="21">73*((BU6+BU7)/2)</f>
        <v>511</v>
      </c>
      <c r="BX6" s="222">
        <v>73</v>
      </c>
      <c r="BY6" s="225">
        <f>IF($C6&gt;=Wirtschaftlichkeit!$N$8,Wirtschaftlichkeit!$N$8,IF(AND($C6&lt;=Wirtschaftlichkeit!$N$8,$C6&gt;=Wirtschaftlichkeit!$N$8*Eingabemaske!$B$18),$C6,"0"))</f>
        <v>18.977838419132468</v>
      </c>
      <c r="BZ6" s="222">
        <v>73</v>
      </c>
      <c r="CA6" s="224">
        <f t="shared" ref="CA6:CA69" si="22">73*((BY6+BY7)/2)</f>
        <v>1385.3822045966701</v>
      </c>
      <c r="CB6" s="222">
        <v>73</v>
      </c>
      <c r="CC6" s="226">
        <f t="shared" ref="CC6:CC69" si="23">IF(BY6="0"," ",BY6)</f>
        <v>18.977838419132468</v>
      </c>
      <c r="CD6" s="312">
        <v>73</v>
      </c>
      <c r="CE6" s="286">
        <f>BY6*Wirtschaftlichkeit!$N$5/Wirtschaftlichkeit!$N$7</f>
        <v>8</v>
      </c>
      <c r="CF6" s="284">
        <f t="shared" ref="CF6:CF69" si="24">73*((CE6+CE7)/2)</f>
        <v>584</v>
      </c>
      <c r="CH6" s="222">
        <v>73</v>
      </c>
      <c r="CI6" s="225">
        <f>IF($C6&gt;=Wirtschaftlichkeit!$O$8,Wirtschaftlichkeit!$O$8,IF(AND($C6&lt;=Wirtschaftlichkeit!$O$8,$C6&gt;=Wirtschaftlichkeit!$O$8*Eingabemaske!$B$18),$C6,"0"))</f>
        <v>20.966443256074175</v>
      </c>
      <c r="CJ6" s="222">
        <v>73</v>
      </c>
      <c r="CK6" s="224">
        <f t="shared" ref="CK6:CK69" si="25">73*((CI6+CI7)/2)</f>
        <v>1530.5503576934148</v>
      </c>
      <c r="CL6" s="222">
        <v>73</v>
      </c>
      <c r="CM6" s="226">
        <f t="shared" ref="CM6:CM69" si="26">IF(CI6="0"," ",CI6)</f>
        <v>20.966443256074175</v>
      </c>
      <c r="CN6" s="312">
        <v>73</v>
      </c>
      <c r="CO6" s="286">
        <f>CI6*Wirtschaftlichkeit!$O$5/Wirtschaftlichkeit!$O$7</f>
        <v>9</v>
      </c>
      <c r="CP6" s="284">
        <f t="shared" ref="CP6:CP69" si="27">73*((CO6+CO7)/2)</f>
        <v>657</v>
      </c>
      <c r="CR6" s="222">
        <v>73</v>
      </c>
      <c r="CS6" s="225">
        <f>IF($C6&gt;=Wirtschaftlichkeit!$P$8,Wirtschaftlichkeit!$P$8,IF(AND($C6&lt;=Wirtschaftlichkeit!$P$8,$C6&gt;=Wirtschaftlichkeit!$P$8*Eingabemaske!$B$18),$C6,"0"))</f>
        <v>22.62303</v>
      </c>
      <c r="CT6" s="222">
        <v>73</v>
      </c>
      <c r="CU6" s="224">
        <f t="shared" ref="CU6:CU69" si="28">73*((CS6+CS7)/2)</f>
        <v>1646.1167850000002</v>
      </c>
      <c r="CV6" s="222">
        <v>73</v>
      </c>
      <c r="CW6" s="226">
        <f t="shared" ref="CW6:CW69" si="29">IF(CS6="0"," ",CS6)</f>
        <v>22.62303</v>
      </c>
      <c r="CX6" s="312">
        <v>73</v>
      </c>
      <c r="CY6" s="286">
        <f>CS6*Wirtschaftlichkeit!$P$5/Wirtschaftlichkeit!$P$7</f>
        <v>9.8707239638132531</v>
      </c>
      <c r="CZ6" s="284">
        <f t="shared" ref="CZ6:CZ69" si="30">73*((CY6+CY7)/2)</f>
        <v>718.22228927489937</v>
      </c>
      <c r="DB6" s="222">
        <v>73</v>
      </c>
      <c r="DC6" s="225">
        <f>IF($C6&gt;=Wirtschaftlichkeit!$Q$8,Wirtschaftlichkeit!$Q$8,IF(AND($C6&lt;=Wirtschaftlichkeit!$Q$8,$C6&gt;=Wirtschaftlichkeit!$Q$8*Eingabemaske!$B$18),$C6,"0"))</f>
        <v>22.62303</v>
      </c>
      <c r="DD6" s="222">
        <v>73</v>
      </c>
      <c r="DE6" s="224">
        <f t="shared" ref="DE6:DE69" si="31">73*((DC6+DC7)/2)</f>
        <v>1646.1167850000002</v>
      </c>
      <c r="DF6" s="222">
        <v>73</v>
      </c>
      <c r="DG6" s="226">
        <f t="shared" ref="DG6:DG69" si="32">IF(DC6="0"," ",DC6)</f>
        <v>22.62303</v>
      </c>
      <c r="DH6" s="312">
        <v>73</v>
      </c>
      <c r="DI6" s="286">
        <f>DC6*Wirtschaftlichkeit!$Q$5/Wirtschaftlichkeit!$Q$7</f>
        <v>10.35839294452977</v>
      </c>
      <c r="DJ6" s="284">
        <f t="shared" ref="DJ6:DJ69" si="33">73*((DI6+DI7)/2)</f>
        <v>753.70648810597118</v>
      </c>
      <c r="DL6" s="222">
        <v>73</v>
      </c>
      <c r="DM6" s="225">
        <f>IF($C6&gt;=Wirtschaftlichkeit!$R$8,Wirtschaftlichkeit!$R$8,IF(AND($C6&lt;=Wirtschaftlichkeit!$R$8,$C6&gt;=Wirtschaftlichkeit!$R$8*Eingabemaske!$B$18),$C6,"0"))</f>
        <v>22.62303</v>
      </c>
      <c r="DN6" s="222">
        <v>73</v>
      </c>
      <c r="DO6" s="224">
        <f t="shared" ref="DO6:DO69" si="34">73*((DM6+DM7)/2)</f>
        <v>1646.1167850000002</v>
      </c>
      <c r="DP6" s="222">
        <v>73</v>
      </c>
      <c r="DQ6" s="226">
        <f t="shared" ref="DQ6:DQ69" si="35">IF(DM6="0"," ",DM6)</f>
        <v>22.62303</v>
      </c>
      <c r="DR6" s="312">
        <v>73</v>
      </c>
      <c r="DS6" s="286">
        <f>DM6*Wirtschaftlichkeit!$R$5/Wirtschaftlichkeit!$R$7</f>
        <v>10.495170687110528</v>
      </c>
      <c r="DT6" s="284">
        <f t="shared" ref="DT6:DT69" si="36">73*((DS6+DS7)/2)</f>
        <v>763.65883038181107</v>
      </c>
      <c r="DV6" s="222">
        <v>73</v>
      </c>
      <c r="DW6" s="225">
        <f>IF($C6&gt;=Wirtschaftlichkeit!$S$8,Wirtschaftlichkeit!$S$8,IF(AND($C6&lt;=Wirtschaftlichkeit!$S$8,$C6&gt;=Wirtschaftlichkeit!$S$8*Eingabemaske!$B$18),$C6,"0"))</f>
        <v>22.62303</v>
      </c>
      <c r="DX6" s="222">
        <v>73</v>
      </c>
      <c r="DY6" s="224">
        <f t="shared" ref="DY6:DY69" si="37">73*((DW6+DW7)/2)</f>
        <v>1646.1167850000002</v>
      </c>
      <c r="DZ6" s="222">
        <v>73</v>
      </c>
      <c r="EA6" s="226">
        <f t="shared" ref="EA6:EA69" si="38">IF(DW6="0"," ",DW6)</f>
        <v>22.62303</v>
      </c>
      <c r="EB6" s="312">
        <v>73</v>
      </c>
      <c r="EC6" s="286">
        <f>DW6*Wirtschaftlichkeit!$S$5/Wirtschaftlichkeit!$S$7</f>
        <v>10.623101831701518</v>
      </c>
      <c r="ED6" s="284">
        <f t="shared" ref="ED6:ED69" si="39">73*((EC6+EC7)/2)</f>
        <v>772.96746872227607</v>
      </c>
      <c r="EF6" s="222">
        <v>73</v>
      </c>
      <c r="EG6" s="225">
        <f>IF($C6&gt;=Wirtschaftlichkeit!$T$8,Wirtschaftlichkeit!$T$8,IF(AND($C6&lt;=Wirtschaftlichkeit!$T$8,$C6&gt;=Wirtschaftlichkeit!$T$8*Eingabemaske!$B$18),$C6,"0"))</f>
        <v>22.62303</v>
      </c>
      <c r="EH6" s="222">
        <v>73</v>
      </c>
      <c r="EI6" s="224">
        <f t="shared" ref="EI6:EI69" si="40">73*((EG6+EG7)/2)</f>
        <v>1646.1167850000002</v>
      </c>
      <c r="EJ6" s="222">
        <v>73</v>
      </c>
      <c r="EK6" s="226">
        <f t="shared" ref="EK6:EK69" si="41">IF(EG6="0"," ",EG6)</f>
        <v>22.62303</v>
      </c>
      <c r="EL6" s="312">
        <v>73</v>
      </c>
      <c r="EM6" s="286">
        <f>EG6*Wirtschaftlichkeit!$T$5/Wirtschaftlichkeit!$T$7</f>
        <v>10.743388245629387</v>
      </c>
      <c r="EN6" s="284">
        <f t="shared" ref="EN6:EN69" si="42">73*((EM6+EM7)/2)</f>
        <v>781.71985445372422</v>
      </c>
      <c r="EP6" s="222">
        <v>73</v>
      </c>
      <c r="EQ6" s="225">
        <f>IF($C6&gt;=Wirtschaftlichkeit!$U$8,Wirtschaftlichkeit!$U$8,IF(AND($C6&lt;=Wirtschaftlichkeit!$U$8,$C6&gt;=Wirtschaftlichkeit!$U$8*Eingabemaske!$B$18),$C6,"0"))</f>
        <v>22.62303</v>
      </c>
      <c r="ER6" s="222">
        <v>73</v>
      </c>
      <c r="ES6" s="224">
        <f t="shared" ref="ES6:ES69" si="43">73*((EQ6+EQ7)/2)</f>
        <v>1646.1167850000002</v>
      </c>
      <c r="ET6" s="222">
        <v>73</v>
      </c>
      <c r="EU6" s="226">
        <f t="shared" ref="EU6:EU69" si="44">IF(EQ6="0"," ",EQ6)</f>
        <v>22.62303</v>
      </c>
      <c r="EV6" s="312">
        <v>73</v>
      </c>
      <c r="EW6" s="286">
        <f>EQ6*Wirtschaftlichkeit!$U$5/Wirtschaftlichkeit!$U$7</f>
        <v>10.856995802609623</v>
      </c>
      <c r="EX6" s="284">
        <f t="shared" ref="EX6:EX69" si="45">73*((EW6+EW7)/2)</f>
        <v>789.98626732803905</v>
      </c>
      <c r="EZ6" s="222">
        <v>73</v>
      </c>
      <c r="FA6" s="225">
        <f>IF($C6&gt;=Wirtschaftlichkeit!$V$8,Wirtschaftlichkeit!$V$8,IF(AND($C6&lt;=Wirtschaftlichkeit!$V$8,$C6&gt;=Wirtschaftlichkeit!$V$8*Eingabemaske!$B$18),$C6,"0"))</f>
        <v>22.62303</v>
      </c>
      <c r="FB6" s="222">
        <v>73</v>
      </c>
      <c r="FC6" s="224">
        <f t="shared" ref="FC6:FC69" si="46">73*((FA6+FA7)/2)</f>
        <v>1646.1167850000002</v>
      </c>
      <c r="FD6" s="222">
        <v>73</v>
      </c>
      <c r="FE6" s="226">
        <f t="shared" ref="FE6:FE69" si="47">IF(FA6="0"," ",FA6)</f>
        <v>22.62303</v>
      </c>
      <c r="FF6" s="312">
        <v>73</v>
      </c>
      <c r="FG6" s="286">
        <f>FA6*Wirtschaftlichkeit!$V$5/Wirtschaftlichkeit!$V$7</f>
        <v>10.964713116054421</v>
      </c>
      <c r="FH6" s="284">
        <f t="shared" ref="FH6:FH69" si="48">73*((FG6+FG7)/2)</f>
        <v>797.82408912717858</v>
      </c>
      <c r="FJ6" s="222">
        <v>73</v>
      </c>
      <c r="FK6" s="225">
        <f>IF($C6&gt;=Wirtschaftlichkeit!$W$8,Wirtschaftlichkeit!$W$8,IF(AND($C6&lt;=Wirtschaftlichkeit!$W$8,$C6&gt;=Wirtschaftlichkeit!$W$8*Eingabemaske!$B$18),$C6,"0"))</f>
        <v>22.62303</v>
      </c>
      <c r="FL6" s="222">
        <v>73</v>
      </c>
      <c r="FM6" s="224">
        <f t="shared" ref="FM6:FM69" si="49">73*((FK6+FK7)/2)</f>
        <v>1646.1167850000002</v>
      </c>
      <c r="FN6" s="222">
        <v>73</v>
      </c>
      <c r="FO6" s="226">
        <f t="shared" ref="FO6:FO69" si="50">IF(FK6="0"," ",FK6)</f>
        <v>22.62303</v>
      </c>
      <c r="FP6" s="312">
        <v>73</v>
      </c>
      <c r="FQ6" s="286">
        <f>FK6*Wirtschaftlichkeit!$W$5/Wirtschaftlichkeit!$W$7</f>
        <v>11.067192948816746</v>
      </c>
      <c r="FR6" s="284">
        <f t="shared" ref="FR6:FR69" si="51">73*((FQ6+FQ7)/2)</f>
        <v>805.28081675535464</v>
      </c>
      <c r="FT6" s="222">
        <v>73</v>
      </c>
      <c r="FU6" s="225">
        <f>IF($C6&gt;=Wirtschaftlichkeit!$X$8,Wirtschaftlichkeit!$X$8,IF(AND($C6&lt;=Wirtschaftlichkeit!$X$8,$C6&gt;=Wirtschaftlichkeit!$X$8*Eingabemaske!$B$18),$C6,"0"))</f>
        <v>22.62303</v>
      </c>
      <c r="FV6" s="222">
        <v>73</v>
      </c>
      <c r="FW6" s="224">
        <f t="shared" ref="FW6:FW69" si="52">73*((FU6+FU7)/2)</f>
        <v>1646.1167850000002</v>
      </c>
      <c r="FX6" s="222">
        <v>73</v>
      </c>
      <c r="FY6" s="226">
        <f t="shared" ref="FY6:FY69" si="53">IF(FU6="0"," ",FU6)</f>
        <v>22.62303</v>
      </c>
      <c r="FZ6" s="312">
        <v>73</v>
      </c>
      <c r="GA6" s="286">
        <f>FU6*Wirtschaftlichkeit!$X$5/Wirtschaftlichkeit!$X$7</f>
        <v>11.164982115169739</v>
      </c>
      <c r="GB6" s="284">
        <f t="shared" ref="GB6:GB69" si="54">73*((GA6+GA7)/2)</f>
        <v>812.3962379931296</v>
      </c>
      <c r="GD6" s="222">
        <v>73</v>
      </c>
      <c r="GE6" s="225">
        <f>IF($C6&gt;=Wirtschaftlichkeit!$Y$8,Wirtschaftlichkeit!$Y$8,IF(AND($C6&lt;=Wirtschaftlichkeit!$Y$8,$C6&gt;=Wirtschaftlichkeit!$Y$8*Eingabemaske!$B$18),$C6,"0"))</f>
        <v>22.62303</v>
      </c>
      <c r="GF6" s="222">
        <v>73</v>
      </c>
      <c r="GG6" s="224">
        <f t="shared" ref="GG6:GG69" si="55">73*((GE6+GE7)/2)</f>
        <v>1646.1167850000002</v>
      </c>
      <c r="GH6" s="222">
        <v>73</v>
      </c>
      <c r="GI6" s="226">
        <f t="shared" ref="GI6:GI69" si="56">IF(GE6="0"," ",GE6)</f>
        <v>22.62303</v>
      </c>
      <c r="GJ6" s="312">
        <v>73</v>
      </c>
      <c r="GK6" s="286">
        <f>GE6*Wirtschaftlichkeit!$Y$5/Wirtschaftlichkeit!$Y$7</f>
        <v>11.258543527114625</v>
      </c>
      <c r="GL6" s="284">
        <f t="shared" ref="GL6:GL69" si="57">73*((GK6+GK7)/2)</f>
        <v>819.20403565024174</v>
      </c>
      <c r="GN6" s="222">
        <v>73</v>
      </c>
      <c r="GO6" s="225">
        <f>IF($C6&gt;=Wirtschaftlichkeit!$Z$8,Wirtschaftlichkeit!$Z$8,IF(AND($C6&lt;=Wirtschaftlichkeit!$Z$8,$C6&gt;=Wirtschaftlichkeit!$Z$8*Eingabemaske!$B$18),$C6,"0"))</f>
        <v>22.62303</v>
      </c>
      <c r="GP6" s="222">
        <v>73</v>
      </c>
      <c r="GQ6" s="224">
        <f t="shared" ref="GQ6:GQ69" si="58">73*((GO6+GO7)/2)</f>
        <v>1646.1167850000002</v>
      </c>
      <c r="GR6" s="222">
        <v>73</v>
      </c>
      <c r="GS6" s="226">
        <f t="shared" ref="GS6:GS69" si="59">IF(GO6="0"," ",GO6)</f>
        <v>22.62303</v>
      </c>
      <c r="GT6" s="312">
        <v>73</v>
      </c>
      <c r="GU6" s="286">
        <f>GO6*Wirtschaftlichkeit!$Z$5/Wirtschaftlichkeit!$Z$7</f>
        <v>11.348272748865616</v>
      </c>
      <c r="GV6" s="284">
        <f t="shared" ref="GV6:GV69" si="60">73*((GU6+GU7)/2)</f>
        <v>825.73299211758024</v>
      </c>
      <c r="GW6" s="266"/>
      <c r="GX6" s="258">
        <v>73</v>
      </c>
      <c r="GY6" s="270">
        <f>IF(Berechnung_Diagramme!$C$28=Berechnungen_Lastgang!$F$2,Berechnungen_Lastgang!G6,IF(Berechnung_Diagramme!$C$28=Berechnungen_Lastgang!$P$2,Berechnungen_Lastgang!Q6,IF(Berechnung_Diagramme!$C$28=Berechnungen_Lastgang!$Z$2,Berechnungen_Lastgang!AA6,IF(Berechnung_Diagramme!$C$28=Berechnungen_Lastgang!$AJ$2,Berechnungen_Lastgang!AK6,IF(Berechnung_Diagramme!$C$28=Berechnungen_Lastgang!$AT$2,Berechnungen_Lastgang!AU6,IF(Berechnung_Diagramme!$C$28=Berechnungen_Lastgang!$BD$2,Berechnungen_Lastgang!BE6,IF(Berechnung_Diagramme!$C$28=Berechnungen_Lastgang!$BN$2,Berechnungen_Lastgang!BO6,IF(Berechnung_Diagramme!$C$28=Berechnungen_Lastgang!$BX$2,Berechnungen_Lastgang!BY6,IF(Berechnung_Diagramme!$C$28=Berechnungen_Lastgang!$CH$2,Berechnungen_Lastgang!CI6,IF(Berechnung_Diagramme!$C$28=Berechnungen_Lastgang!$CR$2,Berechnungen_Lastgang!CS6,IF(Berechnung_Diagramme!$C$28=Berechnungen_Lastgang!$DB$2,Berechnungen_Lastgang!DC6,IF(Berechnung_Diagramme!$C$28=Berechnungen_Lastgang!$DL$2,Berechnungen_Lastgang!DM6,IF(Berechnung_Diagramme!$C$28=Berechnungen_Lastgang!$DV$2,Berechnungen_Lastgang!DW6,IF(Berechnung_Diagramme!$C$28=Berechnungen_Lastgang!$EF$2,Berechnungen_Lastgang!EG6,IF(Berechnung_Diagramme!$C$28=Berechnungen_Lastgang!$EP$2,Berechnungen_Lastgang!EQ6,IF(Berechnung_Diagramme!$C$28=Berechnungen_Lastgang!$EZ$2,Berechnungen_Lastgang!FA6,IF(Berechnung_Diagramme!$C$28=Berechnungen_Lastgang!$FJ$2,Berechnungen_Lastgang!FK6,IF(Berechnung_Diagramme!$C$28=Berechnungen_Lastgang!$FT$2,Berechnungen_Lastgang!FU6,IF(Berechnung_Diagramme!$C$28=Berechnungen_Lastgang!$GD$2,Berechnungen_Lastgang!GE6,IF(Berechnung_Diagramme!$C$28=Berechnungen_Lastgang!$GN$2,Berechnungen_Lastgang!GO6,""))))))))))))))))))))</f>
        <v>20.966443256074175</v>
      </c>
    </row>
    <row r="7" spans="2:208" ht="14.45" x14ac:dyDescent="0.3">
      <c r="B7" s="64">
        <v>146</v>
      </c>
      <c r="C7" s="67">
        <f>C6+((C10-C6)/(B10-B6))*(B7-B6)</f>
        <v>22.47606</v>
      </c>
      <c r="D7" s="66">
        <f t="shared" si="0"/>
        <v>1635.3879749999999</v>
      </c>
      <c r="F7" s="64">
        <v>146</v>
      </c>
      <c r="G7" s="225">
        <f>IF($C7&gt;=Wirtschaftlichkeit!$G$8,Wirtschaftlichkeit!$G$8,IF(AND($C7&lt;=Wirtschaftlichkeit!$G$8,$C7&gt;=Wirtschaftlichkeit!$G$8*Eingabemaske!$B$18),$C7,"0"))</f>
        <v>2.8333333333333335</v>
      </c>
      <c r="H7" s="64">
        <v>146</v>
      </c>
      <c r="I7" s="66">
        <f t="shared" si="1"/>
        <v>206.83333333333334</v>
      </c>
      <c r="J7" s="64">
        <v>146</v>
      </c>
      <c r="K7" s="71">
        <f t="shared" si="2"/>
        <v>2.8333333333333335</v>
      </c>
      <c r="L7" s="312">
        <v>146</v>
      </c>
      <c r="M7" s="286">
        <f>G7*Wirtschaftlichkeit!$G$5/Wirtschaftlichkeit!$G$7</f>
        <v>1</v>
      </c>
      <c r="N7" s="284">
        <f t="shared" si="3"/>
        <v>73</v>
      </c>
      <c r="P7" s="222">
        <v>146</v>
      </c>
      <c r="Q7" s="225">
        <f>IF($C7&gt;=Wirtschaftlichkeit!$H$8,Wirtschaftlichkeit!$H$8,IF(AND($C7&lt;=Wirtschaftlichkeit!$H$8,$C7&gt;=Wirtschaftlichkeit!$H$8*Eingabemaske!$B$18),$C7,"0"))</f>
        <v>5.5876288659793811</v>
      </c>
      <c r="R7" s="222">
        <v>146</v>
      </c>
      <c r="S7" s="224">
        <f t="shared" si="4"/>
        <v>407.89690721649481</v>
      </c>
      <c r="T7" s="222">
        <v>146</v>
      </c>
      <c r="U7" s="226">
        <f t="shared" si="5"/>
        <v>5.5876288659793811</v>
      </c>
      <c r="V7" s="312">
        <v>146</v>
      </c>
      <c r="W7" s="286">
        <f>Q7*Wirtschaftlichkeit!$H$5/Wirtschaftlichkeit!$H$7</f>
        <v>2</v>
      </c>
      <c r="X7" s="284">
        <f t="shared" si="6"/>
        <v>146</v>
      </c>
      <c r="Z7" s="222">
        <v>146</v>
      </c>
      <c r="AA7" s="225">
        <f>IF($C7&gt;=Wirtschaftlichkeit!$I$8,Wirtschaftlichkeit!$I$8,IF(AND($C7&lt;=Wirtschaftlichkeit!$I$8,$C7&gt;=Wirtschaftlichkeit!$I$8*Eingabemaske!$B$18),$C7,"0"))</f>
        <v>8.2471643149712612</v>
      </c>
      <c r="AB7" s="222">
        <v>146</v>
      </c>
      <c r="AC7" s="224">
        <f t="shared" si="7"/>
        <v>602.04299499290209</v>
      </c>
      <c r="AD7" s="222">
        <v>146</v>
      </c>
      <c r="AE7" s="226">
        <f t="shared" si="8"/>
        <v>8.2471643149712612</v>
      </c>
      <c r="AF7" s="312">
        <v>146</v>
      </c>
      <c r="AG7" s="286">
        <f>AA7*Wirtschaftlichkeit!$I$5/Wirtschaftlichkeit!$I$7</f>
        <v>3.0000000000000004</v>
      </c>
      <c r="AH7" s="284">
        <f t="shared" si="9"/>
        <v>219.00000000000003</v>
      </c>
      <c r="AJ7" s="222">
        <v>146</v>
      </c>
      <c r="AK7" s="225">
        <f>IF($C7&gt;=Wirtschaftlichkeit!$J$8,Wirtschaftlichkeit!$J$8,IF(AND($C7&lt;=Wirtschaftlichkeit!$J$8,$C7&gt;=Wirtschaftlichkeit!$J$8*Eingabemaske!$B$18),$C7,"0"))</f>
        <v>10.537455322965799</v>
      </c>
      <c r="AL7" s="222">
        <v>146</v>
      </c>
      <c r="AM7" s="224">
        <f t="shared" si="10"/>
        <v>769.23423857650334</v>
      </c>
      <c r="AN7" s="222">
        <v>146</v>
      </c>
      <c r="AO7" s="226">
        <f t="shared" si="11"/>
        <v>10.537455322965799</v>
      </c>
      <c r="AP7" s="312">
        <v>146</v>
      </c>
      <c r="AQ7" s="286">
        <f>AK7*Wirtschaftlichkeit!$J$5/Wirtschaftlichkeit!$J$7</f>
        <v>4</v>
      </c>
      <c r="AR7" s="284">
        <f t="shared" si="12"/>
        <v>292</v>
      </c>
      <c r="AT7" s="222">
        <v>146</v>
      </c>
      <c r="AU7" s="225">
        <f>IF($C7&gt;=Wirtschaftlichkeit!$K$8,Wirtschaftlichkeit!$K$8,IF(AND($C7&lt;=Wirtschaftlichkeit!$K$8,$C7&gt;=Wirtschaftlichkeit!$K$8*Eingabemaske!$B$18),$C7,"0"))</f>
        <v>12.739122166763016</v>
      </c>
      <c r="AV7" s="222">
        <v>146</v>
      </c>
      <c r="AW7" s="224">
        <f t="shared" si="13"/>
        <v>929.95591817370018</v>
      </c>
      <c r="AX7" s="222">
        <v>146</v>
      </c>
      <c r="AY7" s="226">
        <f t="shared" si="14"/>
        <v>12.739122166763016</v>
      </c>
      <c r="AZ7" s="312">
        <v>146</v>
      </c>
      <c r="BA7" s="286">
        <f>AU7*Wirtschaftlichkeit!$K$5/Wirtschaftlichkeit!$K$7</f>
        <v>5</v>
      </c>
      <c r="BB7" s="284">
        <f t="shared" si="15"/>
        <v>365</v>
      </c>
      <c r="BD7" s="222">
        <v>146</v>
      </c>
      <c r="BE7" s="225">
        <f>IF($C7&gt;=Wirtschaftlichkeit!$L$8,Wirtschaftlichkeit!$L$8,IF(AND($C7&lt;=Wirtschaftlichkeit!$L$8,$C7&gt;=Wirtschaftlichkeit!$L$8*Eingabemaske!$B$18),$C7,"0"))</f>
        <v>14.87189090675227</v>
      </c>
      <c r="BF7" s="222">
        <v>146</v>
      </c>
      <c r="BG7" s="224">
        <f t="shared" si="16"/>
        <v>1085.6480361929157</v>
      </c>
      <c r="BH7" s="222">
        <v>146</v>
      </c>
      <c r="BI7" s="226">
        <f t="shared" si="17"/>
        <v>14.87189090675227</v>
      </c>
      <c r="BJ7" s="312">
        <v>146</v>
      </c>
      <c r="BK7" s="286">
        <f>BE7*Wirtschaftlichkeit!$L$5/Wirtschaftlichkeit!$L$7</f>
        <v>6</v>
      </c>
      <c r="BL7" s="284">
        <f t="shared" si="18"/>
        <v>438</v>
      </c>
      <c r="BN7" s="222">
        <v>146</v>
      </c>
      <c r="BO7" s="225">
        <f>IF($C7&gt;=Wirtschaftlichkeit!$M$8,Wirtschaftlichkeit!$M$8,IF(AND($C7&lt;=Wirtschaftlichkeit!$M$8,$C7&gt;=Wirtschaftlichkeit!$M$8*Eingabemaske!$B$18),$C7,"0"))</f>
        <v>16.948500863015312</v>
      </c>
      <c r="BP7" s="222">
        <v>146</v>
      </c>
      <c r="BQ7" s="224">
        <f t="shared" si="19"/>
        <v>1237.2405630001178</v>
      </c>
      <c r="BR7" s="222">
        <v>146</v>
      </c>
      <c r="BS7" s="226">
        <f t="shared" si="20"/>
        <v>16.948500863015312</v>
      </c>
      <c r="BT7" s="312">
        <v>146</v>
      </c>
      <c r="BU7" s="286">
        <f>BO7*Wirtschaftlichkeit!$M$5/Wirtschaftlichkeit!$M$7</f>
        <v>7</v>
      </c>
      <c r="BV7" s="284">
        <f t="shared" si="21"/>
        <v>511</v>
      </c>
      <c r="BX7" s="222">
        <v>146</v>
      </c>
      <c r="BY7" s="225">
        <f>IF($C7&gt;=Wirtschaftlichkeit!$N$8,Wirtschaftlichkeit!$N$8,IF(AND($C7&lt;=Wirtschaftlichkeit!$N$8,$C7&gt;=Wirtschaftlichkeit!$N$8*Eingabemaske!$B$18),$C7,"0"))</f>
        <v>18.977838419132468</v>
      </c>
      <c r="BZ7" s="222">
        <v>146</v>
      </c>
      <c r="CA7" s="224">
        <f t="shared" si="22"/>
        <v>1385.3822045966701</v>
      </c>
      <c r="CB7" s="222">
        <v>146</v>
      </c>
      <c r="CC7" s="226">
        <f t="shared" si="23"/>
        <v>18.977838419132468</v>
      </c>
      <c r="CD7" s="312">
        <v>146</v>
      </c>
      <c r="CE7" s="286">
        <f>BY7*Wirtschaftlichkeit!$N$5/Wirtschaftlichkeit!$N$7</f>
        <v>8</v>
      </c>
      <c r="CF7" s="284">
        <f t="shared" si="24"/>
        <v>584</v>
      </c>
      <c r="CH7" s="222">
        <v>146</v>
      </c>
      <c r="CI7" s="225">
        <f>IF($C7&gt;=Wirtschaftlichkeit!$O$8,Wirtschaftlichkeit!$O$8,IF(AND($C7&lt;=Wirtschaftlichkeit!$O$8,$C7&gt;=Wirtschaftlichkeit!$O$8*Eingabemaske!$B$18),$C7,"0"))</f>
        <v>20.966443256074175</v>
      </c>
      <c r="CJ7" s="222">
        <v>146</v>
      </c>
      <c r="CK7" s="224">
        <f t="shared" si="25"/>
        <v>1530.5503576934148</v>
      </c>
      <c r="CL7" s="222">
        <v>146</v>
      </c>
      <c r="CM7" s="226">
        <f t="shared" si="26"/>
        <v>20.966443256074175</v>
      </c>
      <c r="CN7" s="312">
        <v>146</v>
      </c>
      <c r="CO7" s="286">
        <f>CI7*Wirtschaftlichkeit!$O$5/Wirtschaftlichkeit!$O$7</f>
        <v>9</v>
      </c>
      <c r="CP7" s="284">
        <f t="shared" si="27"/>
        <v>657</v>
      </c>
      <c r="CR7" s="222">
        <v>146</v>
      </c>
      <c r="CS7" s="225">
        <f>IF($C7&gt;=Wirtschaftlichkeit!$P$8,Wirtschaftlichkeit!$P$8,IF(AND($C7&lt;=Wirtschaftlichkeit!$P$8,$C7&gt;=Wirtschaftlichkeit!$P$8*Eingabemaske!$B$18),$C7,"0"))</f>
        <v>22.47606</v>
      </c>
      <c r="CT7" s="222">
        <v>146</v>
      </c>
      <c r="CU7" s="224">
        <f t="shared" si="28"/>
        <v>1635.3879749999999</v>
      </c>
      <c r="CV7" s="222">
        <v>146</v>
      </c>
      <c r="CW7" s="226">
        <f t="shared" si="29"/>
        <v>22.47606</v>
      </c>
      <c r="CX7" s="312">
        <v>146</v>
      </c>
      <c r="CY7" s="286">
        <f>CS7*Wirtschaftlichkeit!$P$5/Wirtschaftlichkeit!$P$7</f>
        <v>9.8065990300196084</v>
      </c>
      <c r="CZ7" s="284">
        <f t="shared" si="30"/>
        <v>713.54116910796336</v>
      </c>
      <c r="DB7" s="222">
        <v>146</v>
      </c>
      <c r="DC7" s="225">
        <f>IF($C7&gt;=Wirtschaftlichkeit!$Q$8,Wirtschaftlichkeit!$Q$8,IF(AND($C7&lt;=Wirtschaftlichkeit!$Q$8,$C7&gt;=Wirtschaftlichkeit!$Q$8*Eingabemaske!$B$18),$C7,"0"))</f>
        <v>22.47606</v>
      </c>
      <c r="DD7" s="222">
        <v>146</v>
      </c>
      <c r="DE7" s="224">
        <f t="shared" si="31"/>
        <v>1635.3879749999999</v>
      </c>
      <c r="DF7" s="222">
        <v>146</v>
      </c>
      <c r="DG7" s="226">
        <f t="shared" si="32"/>
        <v>22.47606</v>
      </c>
      <c r="DH7" s="312">
        <v>146</v>
      </c>
      <c r="DI7" s="286">
        <f>DC7*Wirtschaftlichkeit!$Q$5/Wirtschaftlichkeit!$Q$7</f>
        <v>10.291099880291357</v>
      </c>
      <c r="DJ7" s="284">
        <f t="shared" si="33"/>
        <v>748.79409441656708</v>
      </c>
      <c r="DL7" s="222">
        <v>146</v>
      </c>
      <c r="DM7" s="225">
        <f>IF($C7&gt;=Wirtschaftlichkeit!$R$8,Wirtschaftlichkeit!$R$8,IF(AND($C7&lt;=Wirtschaftlichkeit!$R$8,$C7&gt;=Wirtschaftlichkeit!$R$8*Eingabemaske!$B$18),$C7,"0"))</f>
        <v>22.47606</v>
      </c>
      <c r="DN7" s="222">
        <v>146</v>
      </c>
      <c r="DO7" s="224">
        <f t="shared" si="34"/>
        <v>1635.3879749999999</v>
      </c>
      <c r="DP7" s="222">
        <v>146</v>
      </c>
      <c r="DQ7" s="226">
        <f t="shared" si="35"/>
        <v>22.47606</v>
      </c>
      <c r="DR7" s="312">
        <v>146</v>
      </c>
      <c r="DS7" s="286">
        <f>DM7*Wirtschaftlichkeit!$R$5/Wirtschaftlichkeit!$R$7</f>
        <v>10.426989049377445</v>
      </c>
      <c r="DT7" s="284">
        <f t="shared" si="36"/>
        <v>758.68157082729613</v>
      </c>
      <c r="DV7" s="222">
        <v>146</v>
      </c>
      <c r="DW7" s="225">
        <f>IF($C7&gt;=Wirtschaftlichkeit!$S$8,Wirtschaftlichkeit!$S$8,IF(AND($C7&lt;=Wirtschaftlichkeit!$S$8,$C7&gt;=Wirtschaftlichkeit!$S$8*Eingabemaske!$B$18),$C7,"0"))</f>
        <v>22.47606</v>
      </c>
      <c r="DX7" s="222">
        <v>146</v>
      </c>
      <c r="DY7" s="224">
        <f t="shared" si="37"/>
        <v>1635.3879749999999</v>
      </c>
      <c r="DZ7" s="222">
        <v>146</v>
      </c>
      <c r="EA7" s="226">
        <f t="shared" si="38"/>
        <v>22.47606</v>
      </c>
      <c r="EB7" s="312">
        <v>146</v>
      </c>
      <c r="EC7" s="286">
        <f>DW7*Wirtschaftlichkeit!$S$5/Wirtschaftlichkeit!$S$7</f>
        <v>10.554089092196458</v>
      </c>
      <c r="ED7" s="284">
        <f t="shared" si="39"/>
        <v>767.92953873840679</v>
      </c>
      <c r="EF7" s="222">
        <v>146</v>
      </c>
      <c r="EG7" s="225">
        <f>IF($C7&gt;=Wirtschaftlichkeit!$T$8,Wirtschaftlichkeit!$T$8,IF(AND($C7&lt;=Wirtschaftlichkeit!$T$8,$C7&gt;=Wirtschaftlichkeit!$T$8*Eingabemaske!$B$18),$C7,"0"))</f>
        <v>22.47606</v>
      </c>
      <c r="EH7" s="222">
        <v>146</v>
      </c>
      <c r="EI7" s="224">
        <f t="shared" si="40"/>
        <v>1635.3879749999999</v>
      </c>
      <c r="EJ7" s="222">
        <v>146</v>
      </c>
      <c r="EK7" s="226">
        <f t="shared" si="41"/>
        <v>22.47606</v>
      </c>
      <c r="EL7" s="312">
        <v>146</v>
      </c>
      <c r="EM7" s="286">
        <f>EG7*Wirtschaftlichkeit!$T$5/Wirtschaftlichkeit!$T$7</f>
        <v>10.673594068171276</v>
      </c>
      <c r="EN7" s="284">
        <f t="shared" si="42"/>
        <v>776.62487949928209</v>
      </c>
      <c r="EP7" s="222">
        <v>146</v>
      </c>
      <c r="EQ7" s="225">
        <f>IF($C7&gt;=Wirtschaftlichkeit!$U$8,Wirtschaftlichkeit!$U$8,IF(AND($C7&lt;=Wirtschaftlichkeit!$U$8,$C7&gt;=Wirtschaftlichkeit!$U$8*Eingabemaske!$B$18),$C7,"0"))</f>
        <v>22.47606</v>
      </c>
      <c r="ER7" s="222">
        <v>146</v>
      </c>
      <c r="ES7" s="224">
        <f t="shared" si="43"/>
        <v>1635.3879749999999</v>
      </c>
      <c r="ET7" s="222">
        <v>146</v>
      </c>
      <c r="EU7" s="226">
        <f t="shared" si="44"/>
        <v>22.47606</v>
      </c>
      <c r="EV7" s="312">
        <v>146</v>
      </c>
      <c r="EW7" s="286">
        <f>EQ7*Wirtschaftlichkeit!$U$5/Wirtschaftlichkeit!$U$7</f>
        <v>10.786463576240761</v>
      </c>
      <c r="EX7" s="284">
        <f t="shared" si="45"/>
        <v>784.8374148031121</v>
      </c>
      <c r="EZ7" s="222">
        <v>146</v>
      </c>
      <c r="FA7" s="225">
        <f>IF($C7&gt;=Wirtschaftlichkeit!$V$8,Wirtschaftlichkeit!$V$8,IF(AND($C7&lt;=Wirtschaftlichkeit!$V$8,$C7&gt;=Wirtschaftlichkeit!$V$8*Eingabemaske!$B$18),$C7,"0"))</f>
        <v>22.47606</v>
      </c>
      <c r="FB7" s="222">
        <v>146</v>
      </c>
      <c r="FC7" s="224">
        <f t="shared" si="46"/>
        <v>1635.3879749999999</v>
      </c>
      <c r="FD7" s="222">
        <v>146</v>
      </c>
      <c r="FE7" s="226">
        <f t="shared" si="47"/>
        <v>22.47606</v>
      </c>
      <c r="FF7" s="312">
        <v>146</v>
      </c>
      <c r="FG7" s="286">
        <f>FA7*Wirtschaftlichkeit!$V$5/Wirtschaftlichkeit!$V$7</f>
        <v>10.893481106608007</v>
      </c>
      <c r="FH7" s="284">
        <f t="shared" si="48"/>
        <v>792.62415243759051</v>
      </c>
      <c r="FJ7" s="222">
        <v>146</v>
      </c>
      <c r="FK7" s="225">
        <f>IF($C7&gt;=Wirtschaftlichkeit!$W$8,Wirtschaftlichkeit!$W$8,IF(AND($C7&lt;=Wirtschaftlichkeit!$W$8,$C7&gt;=Wirtschaftlichkeit!$W$8*Eingabemaske!$B$18),$C7,"0"))</f>
        <v>22.47606</v>
      </c>
      <c r="FL7" s="222">
        <v>146</v>
      </c>
      <c r="FM7" s="224">
        <f t="shared" si="49"/>
        <v>1635.3879749999999</v>
      </c>
      <c r="FN7" s="222">
        <v>146</v>
      </c>
      <c r="FO7" s="226">
        <f t="shared" si="50"/>
        <v>22.47606</v>
      </c>
      <c r="FP7" s="312">
        <v>146</v>
      </c>
      <c r="FQ7" s="286">
        <f>FK7*Wirtschaftlichkeit!$W$5/Wirtschaftlichkeit!$W$7</f>
        <v>10.995295181466945</v>
      </c>
      <c r="FR7" s="284">
        <f t="shared" si="51"/>
        <v>800.03227973881928</v>
      </c>
      <c r="FT7" s="222">
        <v>146</v>
      </c>
      <c r="FU7" s="225">
        <f>IF($C7&gt;=Wirtschaftlichkeit!$X$8,Wirtschaftlichkeit!$X$8,IF(AND($C7&lt;=Wirtschaftlichkeit!$X$8,$C7&gt;=Wirtschaftlichkeit!$X$8*Eingabemaske!$B$18),$C7,"0"))</f>
        <v>22.47606</v>
      </c>
      <c r="FV7" s="222">
        <v>146</v>
      </c>
      <c r="FW7" s="224">
        <f t="shared" si="52"/>
        <v>1635.3879749999999</v>
      </c>
      <c r="FX7" s="222">
        <v>146</v>
      </c>
      <c r="FY7" s="226">
        <f t="shared" si="53"/>
        <v>22.47606</v>
      </c>
      <c r="FZ7" s="312">
        <v>146</v>
      </c>
      <c r="GA7" s="286">
        <f>FU7*Wirtschaftlichkeit!$X$5/Wirtschaftlichkeit!$X$7</f>
        <v>11.092449062724224</v>
      </c>
      <c r="GB7" s="284">
        <f t="shared" si="54"/>
        <v>807.10132516460692</v>
      </c>
      <c r="GD7" s="222">
        <v>146</v>
      </c>
      <c r="GE7" s="225">
        <f>IF($C7&gt;=Wirtschaftlichkeit!$Y$8,Wirtschaftlichkeit!$Y$8,IF(AND($C7&lt;=Wirtschaftlichkeit!$Y$8,$C7&gt;=Wirtschaftlichkeit!$Y$8*Eingabemaske!$B$18),$C7,"0"))</f>
        <v>22.47606</v>
      </c>
      <c r="GF7" s="222">
        <v>146</v>
      </c>
      <c r="GG7" s="224">
        <f t="shared" si="55"/>
        <v>1635.3879749999999</v>
      </c>
      <c r="GH7" s="222">
        <v>146</v>
      </c>
      <c r="GI7" s="226">
        <f t="shared" si="56"/>
        <v>22.47606</v>
      </c>
      <c r="GJ7" s="312">
        <v>146</v>
      </c>
      <c r="GK7" s="286">
        <f>GE7*Wirtschaftlichkeit!$Y$5/Wirtschaftlichkeit!$Y$7</f>
        <v>11.185402655083777</v>
      </c>
      <c r="GL7" s="284">
        <f t="shared" si="57"/>
        <v>813.86475199198981</v>
      </c>
      <c r="GN7" s="222">
        <v>146</v>
      </c>
      <c r="GO7" s="225">
        <f>IF($C7&gt;=Wirtschaftlichkeit!$Z$8,Wirtschaftlichkeit!$Z$8,IF(AND($C7&lt;=Wirtschaftlichkeit!$Z$8,$C7&gt;=Wirtschaftlichkeit!$Z$8*Eingabemaske!$B$18),$C7,"0"))</f>
        <v>22.47606</v>
      </c>
      <c r="GP7" s="222">
        <v>146</v>
      </c>
      <c r="GQ7" s="224">
        <f t="shared" si="58"/>
        <v>1635.3879749999999</v>
      </c>
      <c r="GR7" s="222">
        <v>146</v>
      </c>
      <c r="GS7" s="226">
        <f t="shared" si="59"/>
        <v>22.47606</v>
      </c>
      <c r="GT7" s="312">
        <v>146</v>
      </c>
      <c r="GU7" s="286">
        <f>GO7*Wirtschaftlichkeit!$Z$5/Wirtschaftlichkeit!$Z$7</f>
        <v>11.274548952985896</v>
      </c>
      <c r="GV7" s="284">
        <f t="shared" si="60"/>
        <v>820.3511550183606</v>
      </c>
      <c r="GW7" s="266"/>
      <c r="GX7" s="258">
        <v>146</v>
      </c>
      <c r="GY7" s="270">
        <f>IF(Berechnung_Diagramme!$C$28=Berechnungen_Lastgang!$F$2,Berechnungen_Lastgang!G7,IF(Berechnung_Diagramme!$C$28=Berechnungen_Lastgang!$P$2,Berechnungen_Lastgang!Q7,IF(Berechnung_Diagramme!$C$28=Berechnungen_Lastgang!$Z$2,Berechnungen_Lastgang!AA7,IF(Berechnung_Diagramme!$C$28=Berechnungen_Lastgang!$AJ$2,Berechnungen_Lastgang!AK7,IF(Berechnung_Diagramme!$C$28=Berechnungen_Lastgang!$AT$2,Berechnungen_Lastgang!AU7,IF(Berechnung_Diagramme!$C$28=Berechnungen_Lastgang!$BD$2,Berechnungen_Lastgang!BE7,IF(Berechnung_Diagramme!$C$28=Berechnungen_Lastgang!$BN$2,Berechnungen_Lastgang!BO7,IF(Berechnung_Diagramme!$C$28=Berechnungen_Lastgang!$BX$2,Berechnungen_Lastgang!BY7,IF(Berechnung_Diagramme!$C$28=Berechnungen_Lastgang!$CH$2,Berechnungen_Lastgang!CI7,IF(Berechnung_Diagramme!$C$28=Berechnungen_Lastgang!$CR$2,Berechnungen_Lastgang!CS7,IF(Berechnung_Diagramme!$C$28=Berechnungen_Lastgang!$DB$2,Berechnungen_Lastgang!DC7,IF(Berechnung_Diagramme!$C$28=Berechnungen_Lastgang!$DL$2,Berechnungen_Lastgang!DM7,IF(Berechnung_Diagramme!$C$28=Berechnungen_Lastgang!$DV$2,Berechnungen_Lastgang!DW7,IF(Berechnung_Diagramme!$C$28=Berechnungen_Lastgang!$EF$2,Berechnungen_Lastgang!EG7,IF(Berechnung_Diagramme!$C$28=Berechnungen_Lastgang!$EP$2,Berechnungen_Lastgang!EQ7,IF(Berechnung_Diagramme!$C$28=Berechnungen_Lastgang!$EZ$2,Berechnungen_Lastgang!FA7,IF(Berechnung_Diagramme!$C$28=Berechnungen_Lastgang!$FJ$2,Berechnungen_Lastgang!FK7,IF(Berechnung_Diagramme!$C$28=Berechnungen_Lastgang!$FT$2,Berechnungen_Lastgang!FU7,IF(Berechnung_Diagramme!$C$28=Berechnungen_Lastgang!$GD$2,Berechnungen_Lastgang!GE7,IF(Berechnung_Diagramme!$C$28=Berechnungen_Lastgang!$GN$2,Berechnungen_Lastgang!GO7,""))))))))))))))))))))</f>
        <v>20.966443256074175</v>
      </c>
    </row>
    <row r="8" spans="2:208" ht="14.45" x14ac:dyDescent="0.3">
      <c r="B8" s="64">
        <v>219</v>
      </c>
      <c r="C8" s="67">
        <f>C7+((C10-C7)/(B10-B7))*(B8-B7)</f>
        <v>22.329090000000001</v>
      </c>
      <c r="D8" s="66">
        <f t="shared" si="0"/>
        <v>1624.6591650000003</v>
      </c>
      <c r="F8" s="64">
        <v>219</v>
      </c>
      <c r="G8" s="225">
        <f>IF($C8&gt;=Wirtschaftlichkeit!$G$8,Wirtschaftlichkeit!$G$8,IF(AND($C8&lt;=Wirtschaftlichkeit!$G$8,$C8&gt;=Wirtschaftlichkeit!$G$8*Eingabemaske!$B$18),$C8,"0"))</f>
        <v>2.8333333333333335</v>
      </c>
      <c r="H8" s="64">
        <v>219</v>
      </c>
      <c r="I8" s="66">
        <f t="shared" si="1"/>
        <v>206.83333333333334</v>
      </c>
      <c r="J8" s="64">
        <v>219</v>
      </c>
      <c r="K8" s="71">
        <f t="shared" si="2"/>
        <v>2.8333333333333335</v>
      </c>
      <c r="L8" s="312">
        <v>219</v>
      </c>
      <c r="M8" s="286">
        <f>G8*Wirtschaftlichkeit!$G$5/Wirtschaftlichkeit!$G$7</f>
        <v>1</v>
      </c>
      <c r="N8" s="284">
        <f t="shared" si="3"/>
        <v>73</v>
      </c>
      <c r="P8" s="222">
        <v>219</v>
      </c>
      <c r="Q8" s="225">
        <f>IF($C8&gt;=Wirtschaftlichkeit!$H$8,Wirtschaftlichkeit!$H$8,IF(AND($C8&lt;=Wirtschaftlichkeit!$H$8,$C8&gt;=Wirtschaftlichkeit!$H$8*Eingabemaske!$B$18),$C8,"0"))</f>
        <v>5.5876288659793811</v>
      </c>
      <c r="R8" s="222">
        <v>219</v>
      </c>
      <c r="S8" s="224">
        <f t="shared" si="4"/>
        <v>407.89690721649481</v>
      </c>
      <c r="T8" s="222">
        <v>219</v>
      </c>
      <c r="U8" s="226">
        <f t="shared" si="5"/>
        <v>5.5876288659793811</v>
      </c>
      <c r="V8" s="312">
        <v>219</v>
      </c>
      <c r="W8" s="286">
        <f>Q8*Wirtschaftlichkeit!$H$5/Wirtschaftlichkeit!$H$7</f>
        <v>2</v>
      </c>
      <c r="X8" s="284">
        <f t="shared" si="6"/>
        <v>146</v>
      </c>
      <c r="Z8" s="222">
        <v>219</v>
      </c>
      <c r="AA8" s="225">
        <f>IF($C8&gt;=Wirtschaftlichkeit!$I$8,Wirtschaftlichkeit!$I$8,IF(AND($C8&lt;=Wirtschaftlichkeit!$I$8,$C8&gt;=Wirtschaftlichkeit!$I$8*Eingabemaske!$B$18),$C8,"0"))</f>
        <v>8.2471643149712612</v>
      </c>
      <c r="AB8" s="222">
        <v>219</v>
      </c>
      <c r="AC8" s="224">
        <f t="shared" si="7"/>
        <v>602.04299499290209</v>
      </c>
      <c r="AD8" s="222">
        <v>219</v>
      </c>
      <c r="AE8" s="226">
        <f t="shared" si="8"/>
        <v>8.2471643149712612</v>
      </c>
      <c r="AF8" s="312">
        <v>219</v>
      </c>
      <c r="AG8" s="286">
        <f>AA8*Wirtschaftlichkeit!$I$5/Wirtschaftlichkeit!$I$7</f>
        <v>3.0000000000000004</v>
      </c>
      <c r="AH8" s="284">
        <f t="shared" si="9"/>
        <v>219.00000000000003</v>
      </c>
      <c r="AJ8" s="222">
        <v>219</v>
      </c>
      <c r="AK8" s="225">
        <f>IF($C8&gt;=Wirtschaftlichkeit!$J$8,Wirtschaftlichkeit!$J$8,IF(AND($C8&lt;=Wirtschaftlichkeit!$J$8,$C8&gt;=Wirtschaftlichkeit!$J$8*Eingabemaske!$B$18),$C8,"0"))</f>
        <v>10.537455322965799</v>
      </c>
      <c r="AL8" s="222">
        <v>219</v>
      </c>
      <c r="AM8" s="224">
        <f t="shared" si="10"/>
        <v>769.23423857650334</v>
      </c>
      <c r="AN8" s="222">
        <v>219</v>
      </c>
      <c r="AO8" s="226">
        <f t="shared" si="11"/>
        <v>10.537455322965799</v>
      </c>
      <c r="AP8" s="312">
        <v>219</v>
      </c>
      <c r="AQ8" s="286">
        <f>AK8*Wirtschaftlichkeit!$J$5/Wirtschaftlichkeit!$J$7</f>
        <v>4</v>
      </c>
      <c r="AR8" s="284">
        <f t="shared" si="12"/>
        <v>292</v>
      </c>
      <c r="AT8" s="222">
        <v>219</v>
      </c>
      <c r="AU8" s="225">
        <f>IF($C8&gt;=Wirtschaftlichkeit!$K$8,Wirtschaftlichkeit!$K$8,IF(AND($C8&lt;=Wirtschaftlichkeit!$K$8,$C8&gt;=Wirtschaftlichkeit!$K$8*Eingabemaske!$B$18),$C8,"0"))</f>
        <v>12.739122166763016</v>
      </c>
      <c r="AV8" s="222">
        <v>219</v>
      </c>
      <c r="AW8" s="224">
        <f t="shared" si="13"/>
        <v>929.95591817370018</v>
      </c>
      <c r="AX8" s="222">
        <v>219</v>
      </c>
      <c r="AY8" s="226">
        <f t="shared" si="14"/>
        <v>12.739122166763016</v>
      </c>
      <c r="AZ8" s="312">
        <v>219</v>
      </c>
      <c r="BA8" s="286">
        <f>AU8*Wirtschaftlichkeit!$K$5/Wirtschaftlichkeit!$K$7</f>
        <v>5</v>
      </c>
      <c r="BB8" s="284">
        <f t="shared" si="15"/>
        <v>365</v>
      </c>
      <c r="BD8" s="222">
        <v>219</v>
      </c>
      <c r="BE8" s="225">
        <f>IF($C8&gt;=Wirtschaftlichkeit!$L$8,Wirtschaftlichkeit!$L$8,IF(AND($C8&lt;=Wirtschaftlichkeit!$L$8,$C8&gt;=Wirtschaftlichkeit!$L$8*Eingabemaske!$B$18),$C8,"0"))</f>
        <v>14.87189090675227</v>
      </c>
      <c r="BF8" s="222">
        <v>219</v>
      </c>
      <c r="BG8" s="224">
        <f t="shared" si="16"/>
        <v>1085.6480361929157</v>
      </c>
      <c r="BH8" s="222">
        <v>219</v>
      </c>
      <c r="BI8" s="226">
        <f t="shared" si="17"/>
        <v>14.87189090675227</v>
      </c>
      <c r="BJ8" s="312">
        <v>219</v>
      </c>
      <c r="BK8" s="286">
        <f>BE8*Wirtschaftlichkeit!$L$5/Wirtschaftlichkeit!$L$7</f>
        <v>6</v>
      </c>
      <c r="BL8" s="284">
        <f t="shared" si="18"/>
        <v>438</v>
      </c>
      <c r="BN8" s="222">
        <v>219</v>
      </c>
      <c r="BO8" s="225">
        <f>IF($C8&gt;=Wirtschaftlichkeit!$M$8,Wirtschaftlichkeit!$M$8,IF(AND($C8&lt;=Wirtschaftlichkeit!$M$8,$C8&gt;=Wirtschaftlichkeit!$M$8*Eingabemaske!$B$18),$C8,"0"))</f>
        <v>16.948500863015312</v>
      </c>
      <c r="BP8" s="222">
        <v>219</v>
      </c>
      <c r="BQ8" s="224">
        <f t="shared" si="19"/>
        <v>1237.2405630001178</v>
      </c>
      <c r="BR8" s="222">
        <v>219</v>
      </c>
      <c r="BS8" s="226">
        <f t="shared" si="20"/>
        <v>16.948500863015312</v>
      </c>
      <c r="BT8" s="312">
        <v>219</v>
      </c>
      <c r="BU8" s="286">
        <f>BO8*Wirtschaftlichkeit!$M$5/Wirtschaftlichkeit!$M$7</f>
        <v>7</v>
      </c>
      <c r="BV8" s="284">
        <f t="shared" si="21"/>
        <v>511</v>
      </c>
      <c r="BX8" s="222">
        <v>219</v>
      </c>
      <c r="BY8" s="225">
        <f>IF($C8&gt;=Wirtschaftlichkeit!$N$8,Wirtschaftlichkeit!$N$8,IF(AND($C8&lt;=Wirtschaftlichkeit!$N$8,$C8&gt;=Wirtschaftlichkeit!$N$8*Eingabemaske!$B$18),$C8,"0"))</f>
        <v>18.977838419132468</v>
      </c>
      <c r="BZ8" s="222">
        <v>219</v>
      </c>
      <c r="CA8" s="224">
        <f t="shared" si="22"/>
        <v>1385.3822045966701</v>
      </c>
      <c r="CB8" s="222">
        <v>219</v>
      </c>
      <c r="CC8" s="226">
        <f t="shared" si="23"/>
        <v>18.977838419132468</v>
      </c>
      <c r="CD8" s="312">
        <v>219</v>
      </c>
      <c r="CE8" s="286">
        <f>BY8*Wirtschaftlichkeit!$N$5/Wirtschaftlichkeit!$N$7</f>
        <v>8</v>
      </c>
      <c r="CF8" s="284">
        <f t="shared" si="24"/>
        <v>584</v>
      </c>
      <c r="CH8" s="222">
        <v>219</v>
      </c>
      <c r="CI8" s="225">
        <f>IF($C8&gt;=Wirtschaftlichkeit!$O$8,Wirtschaftlichkeit!$O$8,IF(AND($C8&lt;=Wirtschaftlichkeit!$O$8,$C8&gt;=Wirtschaftlichkeit!$O$8*Eingabemaske!$B$18),$C8,"0"))</f>
        <v>20.966443256074175</v>
      </c>
      <c r="CJ8" s="222">
        <v>219</v>
      </c>
      <c r="CK8" s="224">
        <f t="shared" si="25"/>
        <v>1530.5503576934148</v>
      </c>
      <c r="CL8" s="222">
        <v>219</v>
      </c>
      <c r="CM8" s="226">
        <f t="shared" si="26"/>
        <v>20.966443256074175</v>
      </c>
      <c r="CN8" s="312">
        <v>219</v>
      </c>
      <c r="CO8" s="286">
        <f>CI8*Wirtschaftlichkeit!$O$5/Wirtschaftlichkeit!$O$7</f>
        <v>9</v>
      </c>
      <c r="CP8" s="284">
        <f t="shared" si="27"/>
        <v>657</v>
      </c>
      <c r="CR8" s="222">
        <v>219</v>
      </c>
      <c r="CS8" s="225">
        <f>IF($C8&gt;=Wirtschaftlichkeit!$P$8,Wirtschaftlichkeit!$P$8,IF(AND($C8&lt;=Wirtschaftlichkeit!$P$8,$C8&gt;=Wirtschaftlichkeit!$P$8*Eingabemaske!$B$18),$C8,"0"))</f>
        <v>22.329090000000001</v>
      </c>
      <c r="CT8" s="222">
        <v>219</v>
      </c>
      <c r="CU8" s="224">
        <f t="shared" si="28"/>
        <v>1624.6591650000003</v>
      </c>
      <c r="CV8" s="222">
        <v>219</v>
      </c>
      <c r="CW8" s="226">
        <f t="shared" si="29"/>
        <v>22.329090000000001</v>
      </c>
      <c r="CX8" s="312">
        <v>219</v>
      </c>
      <c r="CY8" s="286">
        <f>CS8*Wirtschaftlichkeit!$P$5/Wirtschaftlichkeit!$P$7</f>
        <v>9.7424740962259619</v>
      </c>
      <c r="CZ8" s="284">
        <f t="shared" si="30"/>
        <v>708.86004894102723</v>
      </c>
      <c r="DB8" s="222">
        <v>219</v>
      </c>
      <c r="DC8" s="225">
        <f>IF($C8&gt;=Wirtschaftlichkeit!$Q$8,Wirtschaftlichkeit!$Q$8,IF(AND($C8&lt;=Wirtschaftlichkeit!$Q$8,$C8&gt;=Wirtschaftlichkeit!$Q$8*Eingabemaske!$B$18),$C8,"0"))</f>
        <v>22.329090000000001</v>
      </c>
      <c r="DD8" s="222">
        <v>219</v>
      </c>
      <c r="DE8" s="224">
        <f t="shared" si="31"/>
        <v>1624.6591650000003</v>
      </c>
      <c r="DF8" s="222">
        <v>219</v>
      </c>
      <c r="DG8" s="226">
        <f t="shared" si="32"/>
        <v>22.329090000000001</v>
      </c>
      <c r="DH8" s="312">
        <v>219</v>
      </c>
      <c r="DI8" s="286">
        <f>DC8*Wirtschaftlichkeit!$Q$5/Wirtschaftlichkeit!$Q$7</f>
        <v>10.223806816052946</v>
      </c>
      <c r="DJ8" s="284">
        <f t="shared" si="33"/>
        <v>743.88170072716298</v>
      </c>
      <c r="DL8" s="222">
        <v>219</v>
      </c>
      <c r="DM8" s="225">
        <f>IF($C8&gt;=Wirtschaftlichkeit!$R$8,Wirtschaftlichkeit!$R$8,IF(AND($C8&lt;=Wirtschaftlichkeit!$R$8,$C8&gt;=Wirtschaftlichkeit!$R$8*Eingabemaske!$B$18),$C8,"0"))</f>
        <v>22.329090000000001</v>
      </c>
      <c r="DN8" s="222">
        <v>219</v>
      </c>
      <c r="DO8" s="224">
        <f t="shared" si="34"/>
        <v>1624.6591650000003</v>
      </c>
      <c r="DP8" s="222">
        <v>219</v>
      </c>
      <c r="DQ8" s="226">
        <f t="shared" si="35"/>
        <v>22.329090000000001</v>
      </c>
      <c r="DR8" s="312">
        <v>219</v>
      </c>
      <c r="DS8" s="286">
        <f>DM8*Wirtschaftlichkeit!$R$5/Wirtschaftlichkeit!$R$7</f>
        <v>10.358807411644365</v>
      </c>
      <c r="DT8" s="284">
        <f t="shared" si="36"/>
        <v>753.7043112727813</v>
      </c>
      <c r="DV8" s="222">
        <v>219</v>
      </c>
      <c r="DW8" s="225">
        <f>IF($C8&gt;=Wirtschaftlichkeit!$S$8,Wirtschaftlichkeit!$S$8,IF(AND($C8&lt;=Wirtschaftlichkeit!$S$8,$C8&gt;=Wirtschaftlichkeit!$S$8*Eingabemaske!$B$18),$C8,"0"))</f>
        <v>22.329090000000001</v>
      </c>
      <c r="DX8" s="222">
        <v>219</v>
      </c>
      <c r="DY8" s="224">
        <f t="shared" si="37"/>
        <v>1624.6591650000003</v>
      </c>
      <c r="DZ8" s="222">
        <v>219</v>
      </c>
      <c r="EA8" s="226">
        <f t="shared" si="38"/>
        <v>22.329090000000001</v>
      </c>
      <c r="EB8" s="312">
        <v>219</v>
      </c>
      <c r="EC8" s="286">
        <f>DW8*Wirtschaftlichkeit!$S$5/Wirtschaftlichkeit!$S$7</f>
        <v>10.485076352691397</v>
      </c>
      <c r="ED8" s="284">
        <f t="shared" si="39"/>
        <v>762.89160875453717</v>
      </c>
      <c r="EF8" s="222">
        <v>219</v>
      </c>
      <c r="EG8" s="225">
        <f>IF($C8&gt;=Wirtschaftlichkeit!$T$8,Wirtschaftlichkeit!$T$8,IF(AND($C8&lt;=Wirtschaftlichkeit!$T$8,$C8&gt;=Wirtschaftlichkeit!$T$8*Eingabemaske!$B$18),$C8,"0"))</f>
        <v>22.329090000000001</v>
      </c>
      <c r="EH8" s="222">
        <v>219</v>
      </c>
      <c r="EI8" s="224">
        <f t="shared" si="40"/>
        <v>1624.6591650000003</v>
      </c>
      <c r="EJ8" s="222">
        <v>219</v>
      </c>
      <c r="EK8" s="226">
        <f t="shared" si="41"/>
        <v>22.329090000000001</v>
      </c>
      <c r="EL8" s="312">
        <v>219</v>
      </c>
      <c r="EM8" s="286">
        <f>EG8*Wirtschaftlichkeit!$T$5/Wirtschaftlichkeit!$T$7</f>
        <v>10.603799890713166</v>
      </c>
      <c r="EN8" s="284">
        <f t="shared" si="42"/>
        <v>771.52990454484006</v>
      </c>
      <c r="EP8" s="222">
        <v>219</v>
      </c>
      <c r="EQ8" s="225">
        <f>IF($C8&gt;=Wirtschaftlichkeit!$U$8,Wirtschaftlichkeit!$U$8,IF(AND($C8&lt;=Wirtschaftlichkeit!$U$8,$C8&gt;=Wirtschaftlichkeit!$U$8*Eingabemaske!$B$18),$C8,"0"))</f>
        <v>22.329090000000001</v>
      </c>
      <c r="ER8" s="222">
        <v>219</v>
      </c>
      <c r="ES8" s="224">
        <f t="shared" si="43"/>
        <v>1624.6591650000003</v>
      </c>
      <c r="ET8" s="222">
        <v>219</v>
      </c>
      <c r="EU8" s="226">
        <f t="shared" si="44"/>
        <v>22.329090000000001</v>
      </c>
      <c r="EV8" s="312">
        <v>219</v>
      </c>
      <c r="EW8" s="286">
        <f>EQ8*Wirtschaftlichkeit!$U$5/Wirtschaftlichkeit!$U$7</f>
        <v>10.7159313498719</v>
      </c>
      <c r="EX8" s="284">
        <f t="shared" si="45"/>
        <v>779.68856227818526</v>
      </c>
      <c r="EZ8" s="222">
        <v>219</v>
      </c>
      <c r="FA8" s="225">
        <f>IF($C8&gt;=Wirtschaftlichkeit!$V$8,Wirtschaftlichkeit!$V$8,IF(AND($C8&lt;=Wirtschaftlichkeit!$V$8,$C8&gt;=Wirtschaftlichkeit!$V$8*Eingabemaske!$B$18),$C8,"0"))</f>
        <v>22.329090000000001</v>
      </c>
      <c r="FB8" s="222">
        <v>219</v>
      </c>
      <c r="FC8" s="224">
        <f t="shared" si="46"/>
        <v>1624.6591650000003</v>
      </c>
      <c r="FD8" s="222">
        <v>219</v>
      </c>
      <c r="FE8" s="226">
        <f t="shared" si="47"/>
        <v>22.329090000000001</v>
      </c>
      <c r="FF8" s="312">
        <v>219</v>
      </c>
      <c r="FG8" s="286">
        <f>FA8*Wirtschaftlichkeit!$V$5/Wirtschaftlichkeit!$V$7</f>
        <v>10.822249097161594</v>
      </c>
      <c r="FH8" s="284">
        <f t="shared" si="48"/>
        <v>787.42421574800221</v>
      </c>
      <c r="FJ8" s="222">
        <v>219</v>
      </c>
      <c r="FK8" s="225">
        <f>IF($C8&gt;=Wirtschaftlichkeit!$W$8,Wirtschaftlichkeit!$W$8,IF(AND($C8&lt;=Wirtschaftlichkeit!$W$8,$C8&gt;=Wirtschaftlichkeit!$W$8*Eingabemaske!$B$18),$C8,"0"))</f>
        <v>22.329090000000001</v>
      </c>
      <c r="FL8" s="222">
        <v>219</v>
      </c>
      <c r="FM8" s="224">
        <f t="shared" si="49"/>
        <v>1624.6591650000003</v>
      </c>
      <c r="FN8" s="222">
        <v>219</v>
      </c>
      <c r="FO8" s="226">
        <f t="shared" si="50"/>
        <v>22.329090000000001</v>
      </c>
      <c r="FP8" s="312">
        <v>219</v>
      </c>
      <c r="FQ8" s="286">
        <f>FK8*Wirtschaftlichkeit!$W$5/Wirtschaftlichkeit!$W$7</f>
        <v>10.923397414117144</v>
      </c>
      <c r="FR8" s="284">
        <f t="shared" si="51"/>
        <v>794.78374272228371</v>
      </c>
      <c r="FT8" s="222">
        <v>219</v>
      </c>
      <c r="FU8" s="225">
        <f>IF($C8&gt;=Wirtschaftlichkeit!$X$8,Wirtschaftlichkeit!$X$8,IF(AND($C8&lt;=Wirtschaftlichkeit!$X$8,$C8&gt;=Wirtschaftlichkeit!$X$8*Eingabemaske!$B$18),$C8,"0"))</f>
        <v>22.329090000000001</v>
      </c>
      <c r="FV8" s="222">
        <v>219</v>
      </c>
      <c r="FW8" s="224">
        <f t="shared" si="52"/>
        <v>1624.6591650000003</v>
      </c>
      <c r="FX8" s="222">
        <v>219</v>
      </c>
      <c r="FY8" s="226">
        <f t="shared" si="53"/>
        <v>22.329090000000001</v>
      </c>
      <c r="FZ8" s="312">
        <v>219</v>
      </c>
      <c r="GA8" s="286">
        <f>FU8*Wirtschaftlichkeit!$X$5/Wirtschaftlichkeit!$X$7</f>
        <v>11.019916010278706</v>
      </c>
      <c r="GB8" s="284">
        <f t="shared" si="54"/>
        <v>801.80641233608424</v>
      </c>
      <c r="GD8" s="222">
        <v>219</v>
      </c>
      <c r="GE8" s="225">
        <f>IF($C8&gt;=Wirtschaftlichkeit!$Y$8,Wirtschaftlichkeit!$Y$8,IF(AND($C8&lt;=Wirtschaftlichkeit!$Y$8,$C8&gt;=Wirtschaftlichkeit!$Y$8*Eingabemaske!$B$18),$C8,"0"))</f>
        <v>22.329090000000001</v>
      </c>
      <c r="GF8" s="222">
        <v>219</v>
      </c>
      <c r="GG8" s="224">
        <f t="shared" si="55"/>
        <v>1624.6591650000003</v>
      </c>
      <c r="GH8" s="222">
        <v>219</v>
      </c>
      <c r="GI8" s="226">
        <f t="shared" si="56"/>
        <v>22.329090000000001</v>
      </c>
      <c r="GJ8" s="312">
        <v>219</v>
      </c>
      <c r="GK8" s="286">
        <f>GE8*Wirtschaftlichkeit!$Y$5/Wirtschaftlichkeit!$Y$7</f>
        <v>11.112261783052929</v>
      </c>
      <c r="GL8" s="284">
        <f t="shared" si="57"/>
        <v>808.52546833373788</v>
      </c>
      <c r="GN8" s="222">
        <v>219</v>
      </c>
      <c r="GO8" s="225">
        <f>IF($C8&gt;=Wirtschaftlichkeit!$Z$8,Wirtschaftlichkeit!$Z$8,IF(AND($C8&lt;=Wirtschaftlichkeit!$Z$8,$C8&gt;=Wirtschaftlichkeit!$Z$8*Eingabemaske!$B$18),$C8,"0"))</f>
        <v>22.329090000000001</v>
      </c>
      <c r="GP8" s="222">
        <v>219</v>
      </c>
      <c r="GQ8" s="224">
        <f t="shared" si="58"/>
        <v>1624.6591650000003</v>
      </c>
      <c r="GR8" s="222">
        <v>219</v>
      </c>
      <c r="GS8" s="226">
        <f t="shared" si="59"/>
        <v>22.329090000000001</v>
      </c>
      <c r="GT8" s="312">
        <v>219</v>
      </c>
      <c r="GU8" s="286">
        <f>GO8*Wirtschaftlichkeit!$Z$5/Wirtschaftlichkeit!$Z$7</f>
        <v>11.200825157106177</v>
      </c>
      <c r="GV8" s="284">
        <f t="shared" si="60"/>
        <v>814.96931791914108</v>
      </c>
      <c r="GW8" s="266"/>
      <c r="GX8" s="258">
        <v>219</v>
      </c>
      <c r="GY8" s="270">
        <f>IF(Berechnung_Diagramme!$C$28=Berechnungen_Lastgang!$F$2,Berechnungen_Lastgang!G8,IF(Berechnung_Diagramme!$C$28=Berechnungen_Lastgang!$P$2,Berechnungen_Lastgang!Q8,IF(Berechnung_Diagramme!$C$28=Berechnungen_Lastgang!$Z$2,Berechnungen_Lastgang!AA8,IF(Berechnung_Diagramme!$C$28=Berechnungen_Lastgang!$AJ$2,Berechnungen_Lastgang!AK8,IF(Berechnung_Diagramme!$C$28=Berechnungen_Lastgang!$AT$2,Berechnungen_Lastgang!AU8,IF(Berechnung_Diagramme!$C$28=Berechnungen_Lastgang!$BD$2,Berechnungen_Lastgang!BE8,IF(Berechnung_Diagramme!$C$28=Berechnungen_Lastgang!$BN$2,Berechnungen_Lastgang!BO8,IF(Berechnung_Diagramme!$C$28=Berechnungen_Lastgang!$BX$2,Berechnungen_Lastgang!BY8,IF(Berechnung_Diagramme!$C$28=Berechnungen_Lastgang!$CH$2,Berechnungen_Lastgang!CI8,IF(Berechnung_Diagramme!$C$28=Berechnungen_Lastgang!$CR$2,Berechnungen_Lastgang!CS8,IF(Berechnung_Diagramme!$C$28=Berechnungen_Lastgang!$DB$2,Berechnungen_Lastgang!DC8,IF(Berechnung_Diagramme!$C$28=Berechnungen_Lastgang!$DL$2,Berechnungen_Lastgang!DM8,IF(Berechnung_Diagramme!$C$28=Berechnungen_Lastgang!$DV$2,Berechnungen_Lastgang!DW8,IF(Berechnung_Diagramme!$C$28=Berechnungen_Lastgang!$EF$2,Berechnungen_Lastgang!EG8,IF(Berechnung_Diagramme!$C$28=Berechnungen_Lastgang!$EP$2,Berechnungen_Lastgang!EQ8,IF(Berechnung_Diagramme!$C$28=Berechnungen_Lastgang!$EZ$2,Berechnungen_Lastgang!FA8,IF(Berechnung_Diagramme!$C$28=Berechnungen_Lastgang!$FJ$2,Berechnungen_Lastgang!FK8,IF(Berechnung_Diagramme!$C$28=Berechnungen_Lastgang!$FT$2,Berechnungen_Lastgang!FU8,IF(Berechnung_Diagramme!$C$28=Berechnungen_Lastgang!$GD$2,Berechnungen_Lastgang!GE8,IF(Berechnung_Diagramme!$C$28=Berechnungen_Lastgang!$GN$2,Berechnungen_Lastgang!GO8,""))))))))))))))))))))</f>
        <v>20.966443256074175</v>
      </c>
    </row>
    <row r="9" spans="2:208" ht="15" customHeight="1" x14ac:dyDescent="0.3">
      <c r="B9" s="64">
        <v>292</v>
      </c>
      <c r="C9" s="67">
        <f>C8+((C10-C8)/(B10-B8))*(B9-B8)</f>
        <v>22.182120000000001</v>
      </c>
      <c r="D9" s="66">
        <f t="shared" si="0"/>
        <v>1613.930355</v>
      </c>
      <c r="F9" s="64">
        <v>292</v>
      </c>
      <c r="G9" s="225">
        <f>IF($C9&gt;=Wirtschaftlichkeit!$G$8,Wirtschaftlichkeit!$G$8,IF(AND($C9&lt;=Wirtschaftlichkeit!$G$8,$C9&gt;=Wirtschaftlichkeit!$G$8*Eingabemaske!$B$18),$C9,"0"))</f>
        <v>2.8333333333333335</v>
      </c>
      <c r="H9" s="64">
        <v>292</v>
      </c>
      <c r="I9" s="66">
        <f t="shared" si="1"/>
        <v>206.83333333333334</v>
      </c>
      <c r="J9" s="64">
        <v>292</v>
      </c>
      <c r="K9" s="71">
        <f t="shared" si="2"/>
        <v>2.8333333333333335</v>
      </c>
      <c r="L9" s="312">
        <v>292</v>
      </c>
      <c r="M9" s="286">
        <f>G9*Wirtschaftlichkeit!$G$5/Wirtschaftlichkeit!$G$7</f>
        <v>1</v>
      </c>
      <c r="N9" s="284">
        <f t="shared" si="3"/>
        <v>73</v>
      </c>
      <c r="P9" s="222">
        <v>292</v>
      </c>
      <c r="Q9" s="225">
        <f>IF($C9&gt;=Wirtschaftlichkeit!$H$8,Wirtschaftlichkeit!$H$8,IF(AND($C9&lt;=Wirtschaftlichkeit!$H$8,$C9&gt;=Wirtschaftlichkeit!$H$8*Eingabemaske!$B$18),$C9,"0"))</f>
        <v>5.5876288659793811</v>
      </c>
      <c r="R9" s="222">
        <v>292</v>
      </c>
      <c r="S9" s="224">
        <f t="shared" si="4"/>
        <v>407.89690721649481</v>
      </c>
      <c r="T9" s="222">
        <v>292</v>
      </c>
      <c r="U9" s="226">
        <f t="shared" si="5"/>
        <v>5.5876288659793811</v>
      </c>
      <c r="V9" s="312">
        <v>292</v>
      </c>
      <c r="W9" s="286">
        <f>Q9*Wirtschaftlichkeit!$H$5/Wirtschaftlichkeit!$H$7</f>
        <v>2</v>
      </c>
      <c r="X9" s="284">
        <f t="shared" si="6"/>
        <v>146</v>
      </c>
      <c r="Z9" s="222">
        <v>292</v>
      </c>
      <c r="AA9" s="225">
        <f>IF($C9&gt;=Wirtschaftlichkeit!$I$8,Wirtschaftlichkeit!$I$8,IF(AND($C9&lt;=Wirtschaftlichkeit!$I$8,$C9&gt;=Wirtschaftlichkeit!$I$8*Eingabemaske!$B$18),$C9,"0"))</f>
        <v>8.2471643149712612</v>
      </c>
      <c r="AB9" s="222">
        <v>292</v>
      </c>
      <c r="AC9" s="224">
        <f t="shared" si="7"/>
        <v>602.04299499290209</v>
      </c>
      <c r="AD9" s="222">
        <v>292</v>
      </c>
      <c r="AE9" s="226">
        <f t="shared" si="8"/>
        <v>8.2471643149712612</v>
      </c>
      <c r="AF9" s="312">
        <v>292</v>
      </c>
      <c r="AG9" s="286">
        <f>AA9*Wirtschaftlichkeit!$I$5/Wirtschaftlichkeit!$I$7</f>
        <v>3.0000000000000004</v>
      </c>
      <c r="AH9" s="284">
        <f t="shared" si="9"/>
        <v>219.00000000000003</v>
      </c>
      <c r="AJ9" s="222">
        <v>292</v>
      </c>
      <c r="AK9" s="225">
        <f>IF($C9&gt;=Wirtschaftlichkeit!$J$8,Wirtschaftlichkeit!$J$8,IF(AND($C9&lt;=Wirtschaftlichkeit!$J$8,$C9&gt;=Wirtschaftlichkeit!$J$8*Eingabemaske!$B$18),$C9,"0"))</f>
        <v>10.537455322965799</v>
      </c>
      <c r="AL9" s="222">
        <v>292</v>
      </c>
      <c r="AM9" s="224">
        <f t="shared" si="10"/>
        <v>769.23423857650334</v>
      </c>
      <c r="AN9" s="222">
        <v>292</v>
      </c>
      <c r="AO9" s="226">
        <f t="shared" si="11"/>
        <v>10.537455322965799</v>
      </c>
      <c r="AP9" s="312">
        <v>292</v>
      </c>
      <c r="AQ9" s="286">
        <f>AK9*Wirtschaftlichkeit!$J$5/Wirtschaftlichkeit!$J$7</f>
        <v>4</v>
      </c>
      <c r="AR9" s="284">
        <f t="shared" si="12"/>
        <v>292</v>
      </c>
      <c r="AT9" s="222">
        <v>292</v>
      </c>
      <c r="AU9" s="225">
        <f>IF($C9&gt;=Wirtschaftlichkeit!$K$8,Wirtschaftlichkeit!$K$8,IF(AND($C9&lt;=Wirtschaftlichkeit!$K$8,$C9&gt;=Wirtschaftlichkeit!$K$8*Eingabemaske!$B$18),$C9,"0"))</f>
        <v>12.739122166763016</v>
      </c>
      <c r="AV9" s="222">
        <v>292</v>
      </c>
      <c r="AW9" s="224">
        <f t="shared" si="13"/>
        <v>929.95591817370018</v>
      </c>
      <c r="AX9" s="222">
        <v>292</v>
      </c>
      <c r="AY9" s="226">
        <f t="shared" si="14"/>
        <v>12.739122166763016</v>
      </c>
      <c r="AZ9" s="312">
        <v>292</v>
      </c>
      <c r="BA9" s="286">
        <f>AU9*Wirtschaftlichkeit!$K$5/Wirtschaftlichkeit!$K$7</f>
        <v>5</v>
      </c>
      <c r="BB9" s="284">
        <f t="shared" si="15"/>
        <v>365</v>
      </c>
      <c r="BD9" s="222">
        <v>292</v>
      </c>
      <c r="BE9" s="225">
        <f>IF($C9&gt;=Wirtschaftlichkeit!$L$8,Wirtschaftlichkeit!$L$8,IF(AND($C9&lt;=Wirtschaftlichkeit!$L$8,$C9&gt;=Wirtschaftlichkeit!$L$8*Eingabemaske!$B$18),$C9,"0"))</f>
        <v>14.87189090675227</v>
      </c>
      <c r="BF9" s="222">
        <v>292</v>
      </c>
      <c r="BG9" s="224">
        <f t="shared" si="16"/>
        <v>1085.6480361929157</v>
      </c>
      <c r="BH9" s="222">
        <v>292</v>
      </c>
      <c r="BI9" s="226">
        <f t="shared" si="17"/>
        <v>14.87189090675227</v>
      </c>
      <c r="BJ9" s="312">
        <v>292</v>
      </c>
      <c r="BK9" s="286">
        <f>BE9*Wirtschaftlichkeit!$L$5/Wirtschaftlichkeit!$L$7</f>
        <v>6</v>
      </c>
      <c r="BL9" s="284">
        <f t="shared" si="18"/>
        <v>438</v>
      </c>
      <c r="BN9" s="222">
        <v>292</v>
      </c>
      <c r="BO9" s="225">
        <f>IF($C9&gt;=Wirtschaftlichkeit!$M$8,Wirtschaftlichkeit!$M$8,IF(AND($C9&lt;=Wirtschaftlichkeit!$M$8,$C9&gt;=Wirtschaftlichkeit!$M$8*Eingabemaske!$B$18),$C9,"0"))</f>
        <v>16.948500863015312</v>
      </c>
      <c r="BP9" s="222">
        <v>292</v>
      </c>
      <c r="BQ9" s="224">
        <f t="shared" si="19"/>
        <v>1237.2405630001178</v>
      </c>
      <c r="BR9" s="222">
        <v>292</v>
      </c>
      <c r="BS9" s="226">
        <f t="shared" si="20"/>
        <v>16.948500863015312</v>
      </c>
      <c r="BT9" s="312">
        <v>292</v>
      </c>
      <c r="BU9" s="286">
        <f>BO9*Wirtschaftlichkeit!$M$5/Wirtschaftlichkeit!$M$7</f>
        <v>7</v>
      </c>
      <c r="BV9" s="284">
        <f t="shared" si="21"/>
        <v>511</v>
      </c>
      <c r="BX9" s="222">
        <v>292</v>
      </c>
      <c r="BY9" s="225">
        <f>IF($C9&gt;=Wirtschaftlichkeit!$N$8,Wirtschaftlichkeit!$N$8,IF(AND($C9&lt;=Wirtschaftlichkeit!$N$8,$C9&gt;=Wirtschaftlichkeit!$N$8*Eingabemaske!$B$18),$C9,"0"))</f>
        <v>18.977838419132468</v>
      </c>
      <c r="BZ9" s="222">
        <v>292</v>
      </c>
      <c r="CA9" s="224">
        <f t="shared" si="22"/>
        <v>1385.3822045966701</v>
      </c>
      <c r="CB9" s="222">
        <v>292</v>
      </c>
      <c r="CC9" s="226">
        <f t="shared" si="23"/>
        <v>18.977838419132468</v>
      </c>
      <c r="CD9" s="312">
        <v>292</v>
      </c>
      <c r="CE9" s="286">
        <f>BY9*Wirtschaftlichkeit!$N$5/Wirtschaftlichkeit!$N$7</f>
        <v>8</v>
      </c>
      <c r="CF9" s="284">
        <f t="shared" si="24"/>
        <v>584</v>
      </c>
      <c r="CH9" s="222">
        <v>292</v>
      </c>
      <c r="CI9" s="225">
        <f>IF($C9&gt;=Wirtschaftlichkeit!$O$8,Wirtschaftlichkeit!$O$8,IF(AND($C9&lt;=Wirtschaftlichkeit!$O$8,$C9&gt;=Wirtschaftlichkeit!$O$8*Eingabemaske!$B$18),$C9,"0"))</f>
        <v>20.966443256074175</v>
      </c>
      <c r="CJ9" s="222">
        <v>292</v>
      </c>
      <c r="CK9" s="224">
        <f t="shared" si="25"/>
        <v>1530.5503576934148</v>
      </c>
      <c r="CL9" s="222">
        <v>292</v>
      </c>
      <c r="CM9" s="226">
        <f t="shared" si="26"/>
        <v>20.966443256074175</v>
      </c>
      <c r="CN9" s="312">
        <v>292</v>
      </c>
      <c r="CO9" s="286">
        <f>CI9*Wirtschaftlichkeit!$O$5/Wirtschaftlichkeit!$O$7</f>
        <v>9</v>
      </c>
      <c r="CP9" s="284">
        <f t="shared" si="27"/>
        <v>657</v>
      </c>
      <c r="CR9" s="222">
        <v>292</v>
      </c>
      <c r="CS9" s="225">
        <f>IF($C9&gt;=Wirtschaftlichkeit!$P$8,Wirtschaftlichkeit!$P$8,IF(AND($C9&lt;=Wirtschaftlichkeit!$P$8,$C9&gt;=Wirtschaftlichkeit!$P$8*Eingabemaske!$B$18),$C9,"0"))</f>
        <v>22.182120000000001</v>
      </c>
      <c r="CT9" s="222">
        <v>292</v>
      </c>
      <c r="CU9" s="224">
        <f t="shared" si="28"/>
        <v>1613.930355</v>
      </c>
      <c r="CV9" s="222">
        <v>292</v>
      </c>
      <c r="CW9" s="226">
        <f t="shared" si="29"/>
        <v>22.182120000000001</v>
      </c>
      <c r="CX9" s="312">
        <v>292</v>
      </c>
      <c r="CY9" s="286">
        <f>CS9*Wirtschaftlichkeit!$P$5/Wirtschaftlichkeit!$P$7</f>
        <v>9.678349162432319</v>
      </c>
      <c r="CZ9" s="284">
        <f t="shared" si="30"/>
        <v>704.17892877409133</v>
      </c>
      <c r="DB9" s="222">
        <v>292</v>
      </c>
      <c r="DC9" s="225">
        <f>IF($C9&gt;=Wirtschaftlichkeit!$Q$8,Wirtschaftlichkeit!$Q$8,IF(AND($C9&lt;=Wirtschaftlichkeit!$Q$8,$C9&gt;=Wirtschaftlichkeit!$Q$8*Eingabemaske!$B$18),$C9,"0"))</f>
        <v>22.182120000000001</v>
      </c>
      <c r="DD9" s="222">
        <v>292</v>
      </c>
      <c r="DE9" s="224">
        <f t="shared" si="31"/>
        <v>1613.930355</v>
      </c>
      <c r="DF9" s="222">
        <v>292</v>
      </c>
      <c r="DG9" s="226">
        <f t="shared" si="32"/>
        <v>22.182120000000001</v>
      </c>
      <c r="DH9" s="312">
        <v>292</v>
      </c>
      <c r="DI9" s="286">
        <f>DC9*Wirtschaftlichkeit!$Q$5/Wirtschaftlichkeit!$Q$7</f>
        <v>10.156513751814531</v>
      </c>
      <c r="DJ9" s="284">
        <f t="shared" si="33"/>
        <v>738.96930703775877</v>
      </c>
      <c r="DL9" s="222">
        <v>292</v>
      </c>
      <c r="DM9" s="225">
        <f>IF($C9&gt;=Wirtschaftlichkeit!$R$8,Wirtschaftlichkeit!$R$8,IF(AND($C9&lt;=Wirtschaftlichkeit!$R$8,$C9&gt;=Wirtschaftlichkeit!$R$8*Eingabemaske!$B$18),$C9,"0"))</f>
        <v>22.182120000000001</v>
      </c>
      <c r="DN9" s="222">
        <v>292</v>
      </c>
      <c r="DO9" s="224">
        <f t="shared" si="34"/>
        <v>1613.930355</v>
      </c>
      <c r="DP9" s="222">
        <v>292</v>
      </c>
      <c r="DQ9" s="226">
        <f t="shared" si="35"/>
        <v>22.182120000000001</v>
      </c>
      <c r="DR9" s="312">
        <v>292</v>
      </c>
      <c r="DS9" s="286">
        <f>DM9*Wirtschaftlichkeit!$R$5/Wirtschaftlichkeit!$R$7</f>
        <v>10.290625773911284</v>
      </c>
      <c r="DT9" s="284">
        <f t="shared" si="36"/>
        <v>748.72705171826624</v>
      </c>
      <c r="DV9" s="222">
        <v>292</v>
      </c>
      <c r="DW9" s="225">
        <f>IF($C9&gt;=Wirtschaftlichkeit!$S$8,Wirtschaftlichkeit!$S$8,IF(AND($C9&lt;=Wirtschaftlichkeit!$S$8,$C9&gt;=Wirtschaftlichkeit!$S$8*Eingabemaske!$B$18),$C9,"0"))</f>
        <v>22.182120000000001</v>
      </c>
      <c r="DX9" s="222">
        <v>292</v>
      </c>
      <c r="DY9" s="224">
        <f t="shared" si="37"/>
        <v>1613.930355</v>
      </c>
      <c r="DZ9" s="222">
        <v>292</v>
      </c>
      <c r="EA9" s="226">
        <f t="shared" si="38"/>
        <v>22.182120000000001</v>
      </c>
      <c r="EB9" s="312">
        <v>292</v>
      </c>
      <c r="EC9" s="286">
        <f>DW9*Wirtschaftlichkeit!$S$5/Wirtschaftlichkeit!$S$7</f>
        <v>10.416063613186337</v>
      </c>
      <c r="ED9" s="284">
        <f t="shared" si="39"/>
        <v>757.8536787706679</v>
      </c>
      <c r="EF9" s="222">
        <v>292</v>
      </c>
      <c r="EG9" s="225">
        <f>IF($C9&gt;=Wirtschaftlichkeit!$T$8,Wirtschaftlichkeit!$T$8,IF(AND($C9&lt;=Wirtschaftlichkeit!$T$8,$C9&gt;=Wirtschaftlichkeit!$T$8*Eingabemaske!$B$18),$C9,"0"))</f>
        <v>22.182120000000001</v>
      </c>
      <c r="EH9" s="222">
        <v>292</v>
      </c>
      <c r="EI9" s="224">
        <f t="shared" si="40"/>
        <v>1613.930355</v>
      </c>
      <c r="EJ9" s="222">
        <v>292</v>
      </c>
      <c r="EK9" s="226">
        <f t="shared" si="41"/>
        <v>22.182120000000001</v>
      </c>
      <c r="EL9" s="312">
        <v>292</v>
      </c>
      <c r="EM9" s="286">
        <f>EG9*Wirtschaftlichkeit!$T$5/Wirtschaftlichkeit!$T$7</f>
        <v>10.534005713255056</v>
      </c>
      <c r="EN9" s="284">
        <f t="shared" si="42"/>
        <v>766.43492959039804</v>
      </c>
      <c r="EP9" s="222">
        <v>292</v>
      </c>
      <c r="EQ9" s="225">
        <f>IF($C9&gt;=Wirtschaftlichkeit!$U$8,Wirtschaftlichkeit!$U$8,IF(AND($C9&lt;=Wirtschaftlichkeit!$U$8,$C9&gt;=Wirtschaftlichkeit!$U$8*Eingabemaske!$B$18),$C9,"0"))</f>
        <v>22.182120000000001</v>
      </c>
      <c r="ER9" s="222">
        <v>292</v>
      </c>
      <c r="ES9" s="224">
        <f t="shared" si="43"/>
        <v>1613.930355</v>
      </c>
      <c r="ET9" s="222">
        <v>292</v>
      </c>
      <c r="EU9" s="226">
        <f t="shared" si="44"/>
        <v>22.182120000000001</v>
      </c>
      <c r="EV9" s="312">
        <v>292</v>
      </c>
      <c r="EW9" s="286">
        <f>EQ9*Wirtschaftlichkeit!$U$5/Wirtschaftlichkeit!$U$7</f>
        <v>10.645399123503038</v>
      </c>
      <c r="EX9" s="284">
        <f t="shared" si="45"/>
        <v>774.53970975325853</v>
      </c>
      <c r="EZ9" s="222">
        <v>292</v>
      </c>
      <c r="FA9" s="225">
        <f>IF($C9&gt;=Wirtschaftlichkeit!$V$8,Wirtschaftlichkeit!$V$8,IF(AND($C9&lt;=Wirtschaftlichkeit!$V$8,$C9&gt;=Wirtschaftlichkeit!$V$8*Eingabemaske!$B$18),$C9,"0"))</f>
        <v>22.182120000000001</v>
      </c>
      <c r="FB9" s="222">
        <v>292</v>
      </c>
      <c r="FC9" s="224">
        <f t="shared" si="46"/>
        <v>1613.930355</v>
      </c>
      <c r="FD9" s="222">
        <v>292</v>
      </c>
      <c r="FE9" s="226">
        <f t="shared" si="47"/>
        <v>22.182120000000001</v>
      </c>
      <c r="FF9" s="312">
        <v>292</v>
      </c>
      <c r="FG9" s="286">
        <f>FA9*Wirtschaftlichkeit!$V$5/Wirtschaftlichkeit!$V$7</f>
        <v>10.751017087715178</v>
      </c>
      <c r="FH9" s="284">
        <f t="shared" si="48"/>
        <v>782.2242790584138</v>
      </c>
      <c r="FJ9" s="222">
        <v>292</v>
      </c>
      <c r="FK9" s="225">
        <f>IF($C9&gt;=Wirtschaftlichkeit!$W$8,Wirtschaftlichkeit!$W$8,IF(AND($C9&lt;=Wirtschaftlichkeit!$W$8,$C9&gt;=Wirtschaftlichkeit!$W$8*Eingabemaske!$B$18),$C9,"0"))</f>
        <v>22.182120000000001</v>
      </c>
      <c r="FL9" s="222">
        <v>292</v>
      </c>
      <c r="FM9" s="224">
        <f t="shared" si="49"/>
        <v>1613.930355</v>
      </c>
      <c r="FN9" s="222">
        <v>292</v>
      </c>
      <c r="FO9" s="226">
        <f t="shared" si="50"/>
        <v>22.182120000000001</v>
      </c>
      <c r="FP9" s="312">
        <v>292</v>
      </c>
      <c r="FQ9" s="286">
        <f>FK9*Wirtschaftlichkeit!$W$5/Wirtschaftlichkeit!$W$7</f>
        <v>10.851499646767339</v>
      </c>
      <c r="FR9" s="284">
        <f t="shared" si="51"/>
        <v>789.53520570574801</v>
      </c>
      <c r="FT9" s="222">
        <v>292</v>
      </c>
      <c r="FU9" s="225">
        <f>IF($C9&gt;=Wirtschaftlichkeit!$X$8,Wirtschaftlichkeit!$X$8,IF(AND($C9&lt;=Wirtschaftlichkeit!$X$8,$C9&gt;=Wirtschaftlichkeit!$X$8*Eingabemaske!$B$18),$C9,"0"))</f>
        <v>22.182120000000001</v>
      </c>
      <c r="FV9" s="222">
        <v>292</v>
      </c>
      <c r="FW9" s="224">
        <f t="shared" si="52"/>
        <v>1613.930355</v>
      </c>
      <c r="FX9" s="222">
        <v>292</v>
      </c>
      <c r="FY9" s="226">
        <f t="shared" si="53"/>
        <v>22.182120000000001</v>
      </c>
      <c r="FZ9" s="312">
        <v>292</v>
      </c>
      <c r="GA9" s="286">
        <f>FU9*Wirtschaftlichkeit!$X$5/Wirtschaftlichkeit!$X$7</f>
        <v>10.94738295783319</v>
      </c>
      <c r="GB9" s="284">
        <f t="shared" si="54"/>
        <v>796.51149950756144</v>
      </c>
      <c r="GD9" s="222">
        <v>292</v>
      </c>
      <c r="GE9" s="225">
        <f>IF($C9&gt;=Wirtschaftlichkeit!$Y$8,Wirtschaftlichkeit!$Y$8,IF(AND($C9&lt;=Wirtschaftlichkeit!$Y$8,$C9&gt;=Wirtschaftlichkeit!$Y$8*Eingabemaske!$B$18),$C9,"0"))</f>
        <v>22.182120000000001</v>
      </c>
      <c r="GF9" s="222">
        <v>292</v>
      </c>
      <c r="GG9" s="224">
        <f t="shared" si="55"/>
        <v>1613.930355</v>
      </c>
      <c r="GH9" s="222">
        <v>292</v>
      </c>
      <c r="GI9" s="226">
        <f t="shared" si="56"/>
        <v>22.182120000000001</v>
      </c>
      <c r="GJ9" s="312">
        <v>292</v>
      </c>
      <c r="GK9" s="286">
        <f>GE9*Wirtschaftlichkeit!$Y$5/Wirtschaftlichkeit!$Y$7</f>
        <v>11.039120911022081</v>
      </c>
      <c r="GL9" s="284">
        <f t="shared" si="57"/>
        <v>803.18618467548595</v>
      </c>
      <c r="GN9" s="222">
        <v>292</v>
      </c>
      <c r="GO9" s="225">
        <f>IF($C9&gt;=Wirtschaftlichkeit!$Z$8,Wirtschaftlichkeit!$Z$8,IF(AND($C9&lt;=Wirtschaftlichkeit!$Z$8,$C9&gt;=Wirtschaftlichkeit!$Z$8*Eingabemaske!$B$18),$C9,"0"))</f>
        <v>22.182120000000001</v>
      </c>
      <c r="GP9" s="222">
        <v>292</v>
      </c>
      <c r="GQ9" s="224">
        <f t="shared" si="58"/>
        <v>1613.930355</v>
      </c>
      <c r="GR9" s="222">
        <v>292</v>
      </c>
      <c r="GS9" s="226">
        <f t="shared" si="59"/>
        <v>22.182120000000001</v>
      </c>
      <c r="GT9" s="312">
        <v>292</v>
      </c>
      <c r="GU9" s="286">
        <f>GO9*Wirtschaftlichkeit!$Z$5/Wirtschaftlichkeit!$Z$7</f>
        <v>11.127101361226456</v>
      </c>
      <c r="GV9" s="284">
        <f t="shared" si="60"/>
        <v>809.58748081992155</v>
      </c>
      <c r="GW9" s="266"/>
      <c r="GX9" s="258">
        <v>292</v>
      </c>
      <c r="GY9" s="270">
        <f>IF(Berechnung_Diagramme!$C$28=Berechnungen_Lastgang!$F$2,Berechnungen_Lastgang!G9,IF(Berechnung_Diagramme!$C$28=Berechnungen_Lastgang!$P$2,Berechnungen_Lastgang!Q9,IF(Berechnung_Diagramme!$C$28=Berechnungen_Lastgang!$Z$2,Berechnungen_Lastgang!AA9,IF(Berechnung_Diagramme!$C$28=Berechnungen_Lastgang!$AJ$2,Berechnungen_Lastgang!AK9,IF(Berechnung_Diagramme!$C$28=Berechnungen_Lastgang!$AT$2,Berechnungen_Lastgang!AU9,IF(Berechnung_Diagramme!$C$28=Berechnungen_Lastgang!$BD$2,Berechnungen_Lastgang!BE9,IF(Berechnung_Diagramme!$C$28=Berechnungen_Lastgang!$BN$2,Berechnungen_Lastgang!BO9,IF(Berechnung_Diagramme!$C$28=Berechnungen_Lastgang!$BX$2,Berechnungen_Lastgang!BY9,IF(Berechnung_Diagramme!$C$28=Berechnungen_Lastgang!$CH$2,Berechnungen_Lastgang!CI9,IF(Berechnung_Diagramme!$C$28=Berechnungen_Lastgang!$CR$2,Berechnungen_Lastgang!CS9,IF(Berechnung_Diagramme!$C$28=Berechnungen_Lastgang!$DB$2,Berechnungen_Lastgang!DC9,IF(Berechnung_Diagramme!$C$28=Berechnungen_Lastgang!$DL$2,Berechnungen_Lastgang!DM9,IF(Berechnung_Diagramme!$C$28=Berechnungen_Lastgang!$DV$2,Berechnungen_Lastgang!DW9,IF(Berechnung_Diagramme!$C$28=Berechnungen_Lastgang!$EF$2,Berechnungen_Lastgang!EG9,IF(Berechnung_Diagramme!$C$28=Berechnungen_Lastgang!$EP$2,Berechnungen_Lastgang!EQ9,IF(Berechnung_Diagramme!$C$28=Berechnungen_Lastgang!$EZ$2,Berechnungen_Lastgang!FA9,IF(Berechnung_Diagramme!$C$28=Berechnungen_Lastgang!$FJ$2,Berechnungen_Lastgang!FK9,IF(Berechnung_Diagramme!$C$28=Berechnungen_Lastgang!$FT$2,Berechnungen_Lastgang!FU9,IF(Berechnung_Diagramme!$C$28=Berechnungen_Lastgang!$GD$2,Berechnungen_Lastgang!GE9,IF(Berechnung_Diagramme!$C$28=Berechnungen_Lastgang!$GN$2,Berechnungen_Lastgang!GO9,""))))))))))))))))))))</f>
        <v>20.966443256074175</v>
      </c>
    </row>
    <row r="10" spans="2:208" ht="14.45" x14ac:dyDescent="0.3">
      <c r="B10" s="64">
        <v>365</v>
      </c>
      <c r="C10" s="67">
        <f>(C5+C15)/2</f>
        <v>22.035150000000002</v>
      </c>
      <c r="D10" s="66">
        <f t="shared" si="0"/>
        <v>1603.2015450000004</v>
      </c>
      <c r="F10" s="64">
        <v>365</v>
      </c>
      <c r="G10" s="225">
        <f>IF($C10&gt;=Wirtschaftlichkeit!$G$8,Wirtschaftlichkeit!$G$8,IF(AND($C10&lt;=Wirtschaftlichkeit!$G$8,$C10&gt;=Wirtschaftlichkeit!$G$8*Eingabemaske!$B$18),$C10,"0"))</f>
        <v>2.8333333333333335</v>
      </c>
      <c r="H10" s="64">
        <v>365</v>
      </c>
      <c r="I10" s="66">
        <f t="shared" si="1"/>
        <v>206.83333333333334</v>
      </c>
      <c r="J10" s="64">
        <v>365</v>
      </c>
      <c r="K10" s="71">
        <f t="shared" si="2"/>
        <v>2.8333333333333335</v>
      </c>
      <c r="L10" s="312">
        <v>365</v>
      </c>
      <c r="M10" s="286">
        <f>G10*Wirtschaftlichkeit!$G$5/Wirtschaftlichkeit!$G$7</f>
        <v>1</v>
      </c>
      <c r="N10" s="284">
        <f t="shared" si="3"/>
        <v>73</v>
      </c>
      <c r="P10" s="222">
        <v>365</v>
      </c>
      <c r="Q10" s="225">
        <f>IF($C10&gt;=Wirtschaftlichkeit!$H$8,Wirtschaftlichkeit!$H$8,IF(AND($C10&lt;=Wirtschaftlichkeit!$H$8,$C10&gt;=Wirtschaftlichkeit!$H$8*Eingabemaske!$B$18),$C10,"0"))</f>
        <v>5.5876288659793811</v>
      </c>
      <c r="R10" s="222">
        <v>365</v>
      </c>
      <c r="S10" s="224">
        <f t="shared" si="4"/>
        <v>407.89690721649481</v>
      </c>
      <c r="T10" s="222">
        <v>365</v>
      </c>
      <c r="U10" s="226">
        <f t="shared" si="5"/>
        <v>5.5876288659793811</v>
      </c>
      <c r="V10" s="312">
        <v>365</v>
      </c>
      <c r="W10" s="286">
        <f>Q10*Wirtschaftlichkeit!$H$5/Wirtschaftlichkeit!$H$7</f>
        <v>2</v>
      </c>
      <c r="X10" s="284">
        <f t="shared" si="6"/>
        <v>146</v>
      </c>
      <c r="Z10" s="222">
        <v>365</v>
      </c>
      <c r="AA10" s="225">
        <f>IF($C10&gt;=Wirtschaftlichkeit!$I$8,Wirtschaftlichkeit!$I$8,IF(AND($C10&lt;=Wirtschaftlichkeit!$I$8,$C10&gt;=Wirtschaftlichkeit!$I$8*Eingabemaske!$B$18),$C10,"0"))</f>
        <v>8.2471643149712612</v>
      </c>
      <c r="AB10" s="222">
        <v>365</v>
      </c>
      <c r="AC10" s="224">
        <f t="shared" si="7"/>
        <v>602.04299499290209</v>
      </c>
      <c r="AD10" s="222">
        <v>365</v>
      </c>
      <c r="AE10" s="226">
        <f t="shared" si="8"/>
        <v>8.2471643149712612</v>
      </c>
      <c r="AF10" s="312">
        <v>365</v>
      </c>
      <c r="AG10" s="286">
        <f>AA10*Wirtschaftlichkeit!$I$5/Wirtschaftlichkeit!$I$7</f>
        <v>3.0000000000000004</v>
      </c>
      <c r="AH10" s="284">
        <f t="shared" si="9"/>
        <v>219.00000000000003</v>
      </c>
      <c r="AJ10" s="222">
        <v>365</v>
      </c>
      <c r="AK10" s="225">
        <f>IF($C10&gt;=Wirtschaftlichkeit!$J$8,Wirtschaftlichkeit!$J$8,IF(AND($C10&lt;=Wirtschaftlichkeit!$J$8,$C10&gt;=Wirtschaftlichkeit!$J$8*Eingabemaske!$B$18),$C10,"0"))</f>
        <v>10.537455322965799</v>
      </c>
      <c r="AL10" s="222">
        <v>365</v>
      </c>
      <c r="AM10" s="224">
        <f t="shared" si="10"/>
        <v>769.23423857650334</v>
      </c>
      <c r="AN10" s="222">
        <v>365</v>
      </c>
      <c r="AO10" s="226">
        <f t="shared" si="11"/>
        <v>10.537455322965799</v>
      </c>
      <c r="AP10" s="312">
        <v>365</v>
      </c>
      <c r="AQ10" s="286">
        <f>AK10*Wirtschaftlichkeit!$J$5/Wirtschaftlichkeit!$J$7</f>
        <v>4</v>
      </c>
      <c r="AR10" s="284">
        <f t="shared" si="12"/>
        <v>292</v>
      </c>
      <c r="AT10" s="222">
        <v>365</v>
      </c>
      <c r="AU10" s="225">
        <f>IF($C10&gt;=Wirtschaftlichkeit!$K$8,Wirtschaftlichkeit!$K$8,IF(AND($C10&lt;=Wirtschaftlichkeit!$K$8,$C10&gt;=Wirtschaftlichkeit!$K$8*Eingabemaske!$B$18),$C10,"0"))</f>
        <v>12.739122166763016</v>
      </c>
      <c r="AV10" s="222">
        <v>365</v>
      </c>
      <c r="AW10" s="224">
        <f t="shared" si="13"/>
        <v>929.95591817370018</v>
      </c>
      <c r="AX10" s="222">
        <v>365</v>
      </c>
      <c r="AY10" s="226">
        <f t="shared" si="14"/>
        <v>12.739122166763016</v>
      </c>
      <c r="AZ10" s="312">
        <v>365</v>
      </c>
      <c r="BA10" s="286">
        <f>AU10*Wirtschaftlichkeit!$K$5/Wirtschaftlichkeit!$K$7</f>
        <v>5</v>
      </c>
      <c r="BB10" s="284">
        <f t="shared" si="15"/>
        <v>365</v>
      </c>
      <c r="BD10" s="222">
        <v>365</v>
      </c>
      <c r="BE10" s="225">
        <f>IF($C10&gt;=Wirtschaftlichkeit!$L$8,Wirtschaftlichkeit!$L$8,IF(AND($C10&lt;=Wirtschaftlichkeit!$L$8,$C10&gt;=Wirtschaftlichkeit!$L$8*Eingabemaske!$B$18),$C10,"0"))</f>
        <v>14.87189090675227</v>
      </c>
      <c r="BF10" s="222">
        <v>365</v>
      </c>
      <c r="BG10" s="224">
        <f t="shared" si="16"/>
        <v>1085.6480361929157</v>
      </c>
      <c r="BH10" s="222">
        <v>365</v>
      </c>
      <c r="BI10" s="226">
        <f t="shared" si="17"/>
        <v>14.87189090675227</v>
      </c>
      <c r="BJ10" s="312">
        <v>365</v>
      </c>
      <c r="BK10" s="286">
        <f>BE10*Wirtschaftlichkeit!$L$5/Wirtschaftlichkeit!$L$7</f>
        <v>6</v>
      </c>
      <c r="BL10" s="284">
        <f t="shared" si="18"/>
        <v>438</v>
      </c>
      <c r="BN10" s="222">
        <v>365</v>
      </c>
      <c r="BO10" s="225">
        <f>IF($C10&gt;=Wirtschaftlichkeit!$M$8,Wirtschaftlichkeit!$M$8,IF(AND($C10&lt;=Wirtschaftlichkeit!$M$8,$C10&gt;=Wirtschaftlichkeit!$M$8*Eingabemaske!$B$18),$C10,"0"))</f>
        <v>16.948500863015312</v>
      </c>
      <c r="BP10" s="222">
        <v>365</v>
      </c>
      <c r="BQ10" s="224">
        <f t="shared" si="19"/>
        <v>1237.2405630001178</v>
      </c>
      <c r="BR10" s="222">
        <v>365</v>
      </c>
      <c r="BS10" s="226">
        <f t="shared" si="20"/>
        <v>16.948500863015312</v>
      </c>
      <c r="BT10" s="312">
        <v>365</v>
      </c>
      <c r="BU10" s="286">
        <f>BO10*Wirtschaftlichkeit!$M$5/Wirtschaftlichkeit!$M$7</f>
        <v>7</v>
      </c>
      <c r="BV10" s="284">
        <f t="shared" si="21"/>
        <v>511</v>
      </c>
      <c r="BX10" s="222">
        <v>365</v>
      </c>
      <c r="BY10" s="225">
        <f>IF($C10&gt;=Wirtschaftlichkeit!$N$8,Wirtschaftlichkeit!$N$8,IF(AND($C10&lt;=Wirtschaftlichkeit!$N$8,$C10&gt;=Wirtschaftlichkeit!$N$8*Eingabemaske!$B$18),$C10,"0"))</f>
        <v>18.977838419132468</v>
      </c>
      <c r="BZ10" s="222">
        <v>365</v>
      </c>
      <c r="CA10" s="224">
        <f t="shared" si="22"/>
        <v>1385.3822045966701</v>
      </c>
      <c r="CB10" s="222">
        <v>365</v>
      </c>
      <c r="CC10" s="226">
        <f t="shared" si="23"/>
        <v>18.977838419132468</v>
      </c>
      <c r="CD10" s="312">
        <v>365</v>
      </c>
      <c r="CE10" s="286">
        <f>BY10*Wirtschaftlichkeit!$N$5/Wirtschaftlichkeit!$N$7</f>
        <v>8</v>
      </c>
      <c r="CF10" s="284">
        <f t="shared" si="24"/>
        <v>584</v>
      </c>
      <c r="CH10" s="222">
        <v>365</v>
      </c>
      <c r="CI10" s="225">
        <f>IF($C10&gt;=Wirtschaftlichkeit!$O$8,Wirtschaftlichkeit!$O$8,IF(AND($C10&lt;=Wirtschaftlichkeit!$O$8,$C10&gt;=Wirtschaftlichkeit!$O$8*Eingabemaske!$B$18),$C10,"0"))</f>
        <v>20.966443256074175</v>
      </c>
      <c r="CJ10" s="222">
        <v>365</v>
      </c>
      <c r="CK10" s="224">
        <f t="shared" si="25"/>
        <v>1530.5503576934148</v>
      </c>
      <c r="CL10" s="222">
        <v>365</v>
      </c>
      <c r="CM10" s="226">
        <f t="shared" si="26"/>
        <v>20.966443256074175</v>
      </c>
      <c r="CN10" s="312">
        <v>365</v>
      </c>
      <c r="CO10" s="286">
        <f>CI10*Wirtschaftlichkeit!$O$5/Wirtschaftlichkeit!$O$7</f>
        <v>9</v>
      </c>
      <c r="CP10" s="284">
        <f t="shared" si="27"/>
        <v>657</v>
      </c>
      <c r="CR10" s="222">
        <v>365</v>
      </c>
      <c r="CS10" s="225">
        <f>IF($C10&gt;=Wirtschaftlichkeit!$P$8,Wirtschaftlichkeit!$P$8,IF(AND($C10&lt;=Wirtschaftlichkeit!$P$8,$C10&gt;=Wirtschaftlichkeit!$P$8*Eingabemaske!$B$18),$C10,"0"))</f>
        <v>22.035150000000002</v>
      </c>
      <c r="CT10" s="222">
        <v>365</v>
      </c>
      <c r="CU10" s="224">
        <f t="shared" si="28"/>
        <v>1603.2015450000004</v>
      </c>
      <c r="CV10" s="222">
        <v>365</v>
      </c>
      <c r="CW10" s="226">
        <f t="shared" si="29"/>
        <v>22.035150000000002</v>
      </c>
      <c r="CX10" s="312">
        <v>365</v>
      </c>
      <c r="CY10" s="286">
        <f>CS10*Wirtschaftlichkeit!$P$5/Wirtschaftlichkeit!$P$7</f>
        <v>9.6142242286386743</v>
      </c>
      <c r="CZ10" s="284">
        <f t="shared" si="30"/>
        <v>699.49780860715509</v>
      </c>
      <c r="DB10" s="222">
        <v>365</v>
      </c>
      <c r="DC10" s="225">
        <f>IF($C10&gt;=Wirtschaftlichkeit!$Q$8,Wirtschaftlichkeit!$Q$8,IF(AND($C10&lt;=Wirtschaftlichkeit!$Q$8,$C10&gt;=Wirtschaftlichkeit!$Q$8*Eingabemaske!$B$18),$C10,"0"))</f>
        <v>22.035150000000002</v>
      </c>
      <c r="DD10" s="222">
        <v>365</v>
      </c>
      <c r="DE10" s="224">
        <f t="shared" si="31"/>
        <v>1603.2015450000004</v>
      </c>
      <c r="DF10" s="222">
        <v>365</v>
      </c>
      <c r="DG10" s="226">
        <f t="shared" si="32"/>
        <v>22.035150000000002</v>
      </c>
      <c r="DH10" s="312">
        <v>365</v>
      </c>
      <c r="DI10" s="286">
        <f>DC10*Wirtschaftlichkeit!$Q$5/Wirtschaftlichkeit!$Q$7</f>
        <v>10.08922068757612</v>
      </c>
      <c r="DJ10" s="284">
        <f t="shared" si="33"/>
        <v>734.05691334835467</v>
      </c>
      <c r="DL10" s="222">
        <v>365</v>
      </c>
      <c r="DM10" s="225">
        <f>IF($C10&gt;=Wirtschaftlichkeit!$R$8,Wirtschaftlichkeit!$R$8,IF(AND($C10&lt;=Wirtschaftlichkeit!$R$8,$C10&gt;=Wirtschaftlichkeit!$R$8*Eingabemaske!$B$18),$C10,"0"))</f>
        <v>22.035150000000002</v>
      </c>
      <c r="DN10" s="222">
        <v>365</v>
      </c>
      <c r="DO10" s="224">
        <f t="shared" si="34"/>
        <v>1603.2015450000004</v>
      </c>
      <c r="DP10" s="222">
        <v>365</v>
      </c>
      <c r="DQ10" s="226">
        <f t="shared" si="35"/>
        <v>22.035150000000002</v>
      </c>
      <c r="DR10" s="312">
        <v>365</v>
      </c>
      <c r="DS10" s="286">
        <f>DM10*Wirtschaftlichkeit!$R$5/Wirtschaftlichkeit!$R$7</f>
        <v>10.222444136178202</v>
      </c>
      <c r="DT10" s="284">
        <f t="shared" si="36"/>
        <v>743.74979216375141</v>
      </c>
      <c r="DV10" s="222">
        <v>365</v>
      </c>
      <c r="DW10" s="225">
        <f>IF($C10&gt;=Wirtschaftlichkeit!$S$8,Wirtschaftlichkeit!$S$8,IF(AND($C10&lt;=Wirtschaftlichkeit!$S$8,$C10&gt;=Wirtschaftlichkeit!$S$8*Eingabemaske!$B$18),$C10,"0"))</f>
        <v>22.035150000000002</v>
      </c>
      <c r="DX10" s="222">
        <v>365</v>
      </c>
      <c r="DY10" s="224">
        <f t="shared" si="37"/>
        <v>1603.2015450000004</v>
      </c>
      <c r="DZ10" s="222">
        <v>365</v>
      </c>
      <c r="EA10" s="226">
        <f t="shared" si="38"/>
        <v>22.035150000000002</v>
      </c>
      <c r="EB10" s="312">
        <v>365</v>
      </c>
      <c r="EC10" s="286">
        <f>DW10*Wirtschaftlichkeit!$S$5/Wirtschaftlichkeit!$S$7</f>
        <v>10.347050873681276</v>
      </c>
      <c r="ED10" s="284">
        <f t="shared" si="39"/>
        <v>752.81574878679839</v>
      </c>
      <c r="EF10" s="222">
        <v>365</v>
      </c>
      <c r="EG10" s="225">
        <f>IF($C10&gt;=Wirtschaftlichkeit!$T$8,Wirtschaftlichkeit!$T$8,IF(AND($C10&lt;=Wirtschaftlichkeit!$T$8,$C10&gt;=Wirtschaftlichkeit!$T$8*Eingabemaske!$B$18),$C10,"0"))</f>
        <v>22.035150000000002</v>
      </c>
      <c r="EH10" s="222">
        <v>365</v>
      </c>
      <c r="EI10" s="224">
        <f t="shared" si="40"/>
        <v>1603.2015450000004</v>
      </c>
      <c r="EJ10" s="222">
        <v>365</v>
      </c>
      <c r="EK10" s="226">
        <f t="shared" si="41"/>
        <v>22.035150000000002</v>
      </c>
      <c r="EL10" s="312">
        <v>365</v>
      </c>
      <c r="EM10" s="286">
        <f>EG10*Wirtschaftlichkeit!$T$5/Wirtschaftlichkeit!$T$7</f>
        <v>10.464211535796945</v>
      </c>
      <c r="EN10" s="284">
        <f t="shared" si="42"/>
        <v>761.33995463595602</v>
      </c>
      <c r="EP10" s="222">
        <v>365</v>
      </c>
      <c r="EQ10" s="225">
        <f>IF($C10&gt;=Wirtschaftlichkeit!$U$8,Wirtschaftlichkeit!$U$8,IF(AND($C10&lt;=Wirtschaftlichkeit!$U$8,$C10&gt;=Wirtschaftlichkeit!$U$8*Eingabemaske!$B$18),$C10,"0"))</f>
        <v>22.035150000000002</v>
      </c>
      <c r="ER10" s="222">
        <v>365</v>
      </c>
      <c r="ES10" s="224">
        <f t="shared" si="43"/>
        <v>1603.2015450000004</v>
      </c>
      <c r="ET10" s="222">
        <v>365</v>
      </c>
      <c r="EU10" s="226">
        <f t="shared" si="44"/>
        <v>22.035150000000002</v>
      </c>
      <c r="EV10" s="312">
        <v>365</v>
      </c>
      <c r="EW10" s="286">
        <f>EQ10*Wirtschaftlichkeit!$U$5/Wirtschaftlichkeit!$U$7</f>
        <v>10.574866897134179</v>
      </c>
      <c r="EX10" s="284">
        <f t="shared" si="45"/>
        <v>769.39085722833158</v>
      </c>
      <c r="EZ10" s="222">
        <v>365</v>
      </c>
      <c r="FA10" s="225">
        <f>IF($C10&gt;=Wirtschaftlichkeit!$V$8,Wirtschaftlichkeit!$V$8,IF(AND($C10&lt;=Wirtschaftlichkeit!$V$8,$C10&gt;=Wirtschaftlichkeit!$V$8*Eingabemaske!$B$18),$C10,"0"))</f>
        <v>22.035150000000002</v>
      </c>
      <c r="FB10" s="222">
        <v>365</v>
      </c>
      <c r="FC10" s="224">
        <f t="shared" si="46"/>
        <v>1603.2015450000004</v>
      </c>
      <c r="FD10" s="222">
        <v>365</v>
      </c>
      <c r="FE10" s="226">
        <f t="shared" si="47"/>
        <v>22.035150000000002</v>
      </c>
      <c r="FF10" s="312">
        <v>365</v>
      </c>
      <c r="FG10" s="286">
        <f>FA10*Wirtschaftlichkeit!$V$5/Wirtschaftlichkeit!$V$7</f>
        <v>10.679785078268765</v>
      </c>
      <c r="FH10" s="284">
        <f t="shared" si="48"/>
        <v>777.02434236882584</v>
      </c>
      <c r="FJ10" s="222">
        <v>365</v>
      </c>
      <c r="FK10" s="225">
        <f>IF($C10&gt;=Wirtschaftlichkeit!$W$8,Wirtschaftlichkeit!$W$8,IF(AND($C10&lt;=Wirtschaftlichkeit!$W$8,$C10&gt;=Wirtschaftlichkeit!$W$8*Eingabemaske!$B$18),$C10,"0"))</f>
        <v>22.035150000000002</v>
      </c>
      <c r="FL10" s="222">
        <v>365</v>
      </c>
      <c r="FM10" s="224">
        <f t="shared" si="49"/>
        <v>1603.2015450000004</v>
      </c>
      <c r="FN10" s="222">
        <v>365</v>
      </c>
      <c r="FO10" s="226">
        <f t="shared" si="50"/>
        <v>22.035150000000002</v>
      </c>
      <c r="FP10" s="312">
        <v>365</v>
      </c>
      <c r="FQ10" s="286">
        <f>FK10*Wirtschaftlichkeit!$W$5/Wirtschaftlichkeit!$W$7</f>
        <v>10.779601879417537</v>
      </c>
      <c r="FR10" s="284">
        <f t="shared" si="51"/>
        <v>784.28666868921243</v>
      </c>
      <c r="FT10" s="222">
        <v>365</v>
      </c>
      <c r="FU10" s="225">
        <f>IF($C10&gt;=Wirtschaftlichkeit!$X$8,Wirtschaftlichkeit!$X$8,IF(AND($C10&lt;=Wirtschaftlichkeit!$X$8,$C10&gt;=Wirtschaftlichkeit!$X$8*Eingabemaske!$B$18),$C10,"0"))</f>
        <v>22.035150000000002</v>
      </c>
      <c r="FV10" s="222">
        <v>365</v>
      </c>
      <c r="FW10" s="224">
        <f t="shared" si="52"/>
        <v>1603.2015450000004</v>
      </c>
      <c r="FX10" s="222">
        <v>365</v>
      </c>
      <c r="FY10" s="226">
        <f t="shared" si="53"/>
        <v>22.035150000000002</v>
      </c>
      <c r="FZ10" s="312">
        <v>365</v>
      </c>
      <c r="GA10" s="286">
        <f>FU10*Wirtschaftlichkeit!$X$5/Wirtschaftlichkeit!$X$7</f>
        <v>10.874849905387673</v>
      </c>
      <c r="GB10" s="284">
        <f t="shared" si="54"/>
        <v>791.21658667903887</v>
      </c>
      <c r="GD10" s="222">
        <v>365</v>
      </c>
      <c r="GE10" s="225">
        <f>IF($C10&gt;=Wirtschaftlichkeit!$Y$8,Wirtschaftlichkeit!$Y$8,IF(AND($C10&lt;=Wirtschaftlichkeit!$Y$8,$C10&gt;=Wirtschaftlichkeit!$Y$8*Eingabemaske!$B$18),$C10,"0"))</f>
        <v>22.035150000000002</v>
      </c>
      <c r="GF10" s="222">
        <v>365</v>
      </c>
      <c r="GG10" s="224">
        <f t="shared" si="55"/>
        <v>1603.2015450000004</v>
      </c>
      <c r="GH10" s="222">
        <v>365</v>
      </c>
      <c r="GI10" s="226">
        <f t="shared" si="56"/>
        <v>22.035150000000002</v>
      </c>
      <c r="GJ10" s="312">
        <v>365</v>
      </c>
      <c r="GK10" s="286">
        <f>GE10*Wirtschaftlichkeit!$Y$5/Wirtschaftlichkeit!$Y$7</f>
        <v>10.965980038991233</v>
      </c>
      <c r="GL10" s="284">
        <f t="shared" si="57"/>
        <v>797.84690101723413</v>
      </c>
      <c r="GN10" s="222">
        <v>365</v>
      </c>
      <c r="GO10" s="225">
        <f>IF($C10&gt;=Wirtschaftlichkeit!$Z$8,Wirtschaftlichkeit!$Z$8,IF(AND($C10&lt;=Wirtschaftlichkeit!$Z$8,$C10&gt;=Wirtschaftlichkeit!$Z$8*Eingabemaske!$B$18),$C10,"0"))</f>
        <v>22.035150000000002</v>
      </c>
      <c r="GP10" s="222">
        <v>365</v>
      </c>
      <c r="GQ10" s="224">
        <f t="shared" si="58"/>
        <v>1603.2015450000004</v>
      </c>
      <c r="GR10" s="222">
        <v>365</v>
      </c>
      <c r="GS10" s="226">
        <f t="shared" si="59"/>
        <v>22.035150000000002</v>
      </c>
      <c r="GT10" s="312">
        <v>365</v>
      </c>
      <c r="GU10" s="286">
        <f>GO10*Wirtschaftlichkeit!$Z$5/Wirtschaftlichkeit!$Z$7</f>
        <v>11.053377565346738</v>
      </c>
      <c r="GV10" s="284">
        <f t="shared" si="60"/>
        <v>804.20564372070214</v>
      </c>
      <c r="GW10" s="266"/>
      <c r="GX10" s="258">
        <v>365</v>
      </c>
      <c r="GY10" s="270">
        <f>IF(Berechnung_Diagramme!$C$28=Berechnungen_Lastgang!$F$2,Berechnungen_Lastgang!G10,IF(Berechnung_Diagramme!$C$28=Berechnungen_Lastgang!$P$2,Berechnungen_Lastgang!Q10,IF(Berechnung_Diagramme!$C$28=Berechnungen_Lastgang!$Z$2,Berechnungen_Lastgang!AA10,IF(Berechnung_Diagramme!$C$28=Berechnungen_Lastgang!$AJ$2,Berechnungen_Lastgang!AK10,IF(Berechnung_Diagramme!$C$28=Berechnungen_Lastgang!$AT$2,Berechnungen_Lastgang!AU10,IF(Berechnung_Diagramme!$C$28=Berechnungen_Lastgang!$BD$2,Berechnungen_Lastgang!BE10,IF(Berechnung_Diagramme!$C$28=Berechnungen_Lastgang!$BN$2,Berechnungen_Lastgang!BO10,IF(Berechnung_Diagramme!$C$28=Berechnungen_Lastgang!$BX$2,Berechnungen_Lastgang!BY10,IF(Berechnung_Diagramme!$C$28=Berechnungen_Lastgang!$CH$2,Berechnungen_Lastgang!CI10,IF(Berechnung_Diagramme!$C$28=Berechnungen_Lastgang!$CR$2,Berechnungen_Lastgang!CS10,IF(Berechnung_Diagramme!$C$28=Berechnungen_Lastgang!$DB$2,Berechnungen_Lastgang!DC10,IF(Berechnung_Diagramme!$C$28=Berechnungen_Lastgang!$DL$2,Berechnungen_Lastgang!DM10,IF(Berechnung_Diagramme!$C$28=Berechnungen_Lastgang!$DV$2,Berechnungen_Lastgang!DW10,IF(Berechnung_Diagramme!$C$28=Berechnungen_Lastgang!$EF$2,Berechnungen_Lastgang!EG10,IF(Berechnung_Diagramme!$C$28=Berechnungen_Lastgang!$EP$2,Berechnungen_Lastgang!EQ10,IF(Berechnung_Diagramme!$C$28=Berechnungen_Lastgang!$EZ$2,Berechnungen_Lastgang!FA10,IF(Berechnung_Diagramme!$C$28=Berechnungen_Lastgang!$FJ$2,Berechnungen_Lastgang!FK10,IF(Berechnung_Diagramme!$C$28=Berechnungen_Lastgang!$FT$2,Berechnungen_Lastgang!FU10,IF(Berechnung_Diagramme!$C$28=Berechnungen_Lastgang!$GD$2,Berechnungen_Lastgang!GE10,IF(Berechnung_Diagramme!$C$28=Berechnungen_Lastgang!$GN$2,Berechnungen_Lastgang!GO10,""))))))))))))))))))))</f>
        <v>20.966443256074175</v>
      </c>
    </row>
    <row r="11" spans="2:208" ht="15" customHeight="1" x14ac:dyDescent="0.3">
      <c r="B11" s="64">
        <v>438</v>
      </c>
      <c r="C11" s="67">
        <f>C10+((C15-C10)/(B15-B10))*(B11-B10)</f>
        <v>21.888180000000002</v>
      </c>
      <c r="D11" s="66">
        <f t="shared" si="0"/>
        <v>1592.4727350000001</v>
      </c>
      <c r="F11" s="64">
        <v>438</v>
      </c>
      <c r="G11" s="225">
        <f>IF($C11&gt;=Wirtschaftlichkeit!$G$8,Wirtschaftlichkeit!$G$8,IF(AND($C11&lt;=Wirtschaftlichkeit!$G$8,$C11&gt;=Wirtschaftlichkeit!$G$8*Eingabemaske!$B$18),$C11,"0"))</f>
        <v>2.8333333333333335</v>
      </c>
      <c r="H11" s="64">
        <v>438</v>
      </c>
      <c r="I11" s="66">
        <f t="shared" si="1"/>
        <v>206.83333333333334</v>
      </c>
      <c r="J11" s="64">
        <v>438</v>
      </c>
      <c r="K11" s="71">
        <f t="shared" si="2"/>
        <v>2.8333333333333335</v>
      </c>
      <c r="L11" s="312">
        <v>438</v>
      </c>
      <c r="M11" s="286">
        <f>G11*Wirtschaftlichkeit!$G$5/Wirtschaftlichkeit!$G$7</f>
        <v>1</v>
      </c>
      <c r="N11" s="284">
        <f t="shared" si="3"/>
        <v>73</v>
      </c>
      <c r="P11" s="222">
        <v>438</v>
      </c>
      <c r="Q11" s="225">
        <f>IF($C11&gt;=Wirtschaftlichkeit!$H$8,Wirtschaftlichkeit!$H$8,IF(AND($C11&lt;=Wirtschaftlichkeit!$H$8,$C11&gt;=Wirtschaftlichkeit!$H$8*Eingabemaske!$B$18),$C11,"0"))</f>
        <v>5.5876288659793811</v>
      </c>
      <c r="R11" s="222">
        <v>438</v>
      </c>
      <c r="S11" s="224">
        <f t="shared" si="4"/>
        <v>407.89690721649481</v>
      </c>
      <c r="T11" s="222">
        <v>438</v>
      </c>
      <c r="U11" s="226">
        <f t="shared" si="5"/>
        <v>5.5876288659793811</v>
      </c>
      <c r="V11" s="312">
        <v>438</v>
      </c>
      <c r="W11" s="286">
        <f>Q11*Wirtschaftlichkeit!$H$5/Wirtschaftlichkeit!$H$7</f>
        <v>2</v>
      </c>
      <c r="X11" s="284">
        <f t="shared" si="6"/>
        <v>146</v>
      </c>
      <c r="Z11" s="222">
        <v>438</v>
      </c>
      <c r="AA11" s="225">
        <f>IF($C11&gt;=Wirtschaftlichkeit!$I$8,Wirtschaftlichkeit!$I$8,IF(AND($C11&lt;=Wirtschaftlichkeit!$I$8,$C11&gt;=Wirtschaftlichkeit!$I$8*Eingabemaske!$B$18),$C11,"0"))</f>
        <v>8.2471643149712612</v>
      </c>
      <c r="AB11" s="222">
        <v>438</v>
      </c>
      <c r="AC11" s="224">
        <f t="shared" si="7"/>
        <v>602.04299499290209</v>
      </c>
      <c r="AD11" s="222">
        <v>438</v>
      </c>
      <c r="AE11" s="226">
        <f t="shared" si="8"/>
        <v>8.2471643149712612</v>
      </c>
      <c r="AF11" s="312">
        <v>438</v>
      </c>
      <c r="AG11" s="286">
        <f>AA11*Wirtschaftlichkeit!$I$5/Wirtschaftlichkeit!$I$7</f>
        <v>3.0000000000000004</v>
      </c>
      <c r="AH11" s="284">
        <f t="shared" si="9"/>
        <v>219.00000000000003</v>
      </c>
      <c r="AJ11" s="222">
        <v>438</v>
      </c>
      <c r="AK11" s="225">
        <f>IF($C11&gt;=Wirtschaftlichkeit!$J$8,Wirtschaftlichkeit!$J$8,IF(AND($C11&lt;=Wirtschaftlichkeit!$J$8,$C11&gt;=Wirtschaftlichkeit!$J$8*Eingabemaske!$B$18),$C11,"0"))</f>
        <v>10.537455322965799</v>
      </c>
      <c r="AL11" s="222">
        <v>438</v>
      </c>
      <c r="AM11" s="224">
        <f t="shared" si="10"/>
        <v>769.23423857650334</v>
      </c>
      <c r="AN11" s="222">
        <v>438</v>
      </c>
      <c r="AO11" s="226">
        <f t="shared" si="11"/>
        <v>10.537455322965799</v>
      </c>
      <c r="AP11" s="312">
        <v>438</v>
      </c>
      <c r="AQ11" s="286">
        <f>AK11*Wirtschaftlichkeit!$J$5/Wirtschaftlichkeit!$J$7</f>
        <v>4</v>
      </c>
      <c r="AR11" s="284">
        <f t="shared" si="12"/>
        <v>292</v>
      </c>
      <c r="AT11" s="222">
        <v>438</v>
      </c>
      <c r="AU11" s="225">
        <f>IF($C11&gt;=Wirtschaftlichkeit!$K$8,Wirtschaftlichkeit!$K$8,IF(AND($C11&lt;=Wirtschaftlichkeit!$K$8,$C11&gt;=Wirtschaftlichkeit!$K$8*Eingabemaske!$B$18),$C11,"0"))</f>
        <v>12.739122166763016</v>
      </c>
      <c r="AV11" s="222">
        <v>438</v>
      </c>
      <c r="AW11" s="224">
        <f t="shared" si="13"/>
        <v>929.95591817370018</v>
      </c>
      <c r="AX11" s="222">
        <v>438</v>
      </c>
      <c r="AY11" s="226">
        <f t="shared" si="14"/>
        <v>12.739122166763016</v>
      </c>
      <c r="AZ11" s="312">
        <v>438</v>
      </c>
      <c r="BA11" s="286">
        <f>AU11*Wirtschaftlichkeit!$K$5/Wirtschaftlichkeit!$K$7</f>
        <v>5</v>
      </c>
      <c r="BB11" s="284">
        <f t="shared" si="15"/>
        <v>365</v>
      </c>
      <c r="BD11" s="222">
        <v>438</v>
      </c>
      <c r="BE11" s="225">
        <f>IF($C11&gt;=Wirtschaftlichkeit!$L$8,Wirtschaftlichkeit!$L$8,IF(AND($C11&lt;=Wirtschaftlichkeit!$L$8,$C11&gt;=Wirtschaftlichkeit!$L$8*Eingabemaske!$B$18),$C11,"0"))</f>
        <v>14.87189090675227</v>
      </c>
      <c r="BF11" s="222">
        <v>438</v>
      </c>
      <c r="BG11" s="224">
        <f t="shared" si="16"/>
        <v>1085.6480361929157</v>
      </c>
      <c r="BH11" s="222">
        <v>438</v>
      </c>
      <c r="BI11" s="226">
        <f t="shared" si="17"/>
        <v>14.87189090675227</v>
      </c>
      <c r="BJ11" s="312">
        <v>438</v>
      </c>
      <c r="BK11" s="286">
        <f>BE11*Wirtschaftlichkeit!$L$5/Wirtschaftlichkeit!$L$7</f>
        <v>6</v>
      </c>
      <c r="BL11" s="284">
        <f t="shared" si="18"/>
        <v>438</v>
      </c>
      <c r="BN11" s="222">
        <v>438</v>
      </c>
      <c r="BO11" s="225">
        <f>IF($C11&gt;=Wirtschaftlichkeit!$M$8,Wirtschaftlichkeit!$M$8,IF(AND($C11&lt;=Wirtschaftlichkeit!$M$8,$C11&gt;=Wirtschaftlichkeit!$M$8*Eingabemaske!$B$18),$C11,"0"))</f>
        <v>16.948500863015312</v>
      </c>
      <c r="BP11" s="222">
        <v>438</v>
      </c>
      <c r="BQ11" s="224">
        <f t="shared" si="19"/>
        <v>1237.2405630001178</v>
      </c>
      <c r="BR11" s="222">
        <v>438</v>
      </c>
      <c r="BS11" s="226">
        <f t="shared" si="20"/>
        <v>16.948500863015312</v>
      </c>
      <c r="BT11" s="312">
        <v>438</v>
      </c>
      <c r="BU11" s="286">
        <f>BO11*Wirtschaftlichkeit!$M$5/Wirtschaftlichkeit!$M$7</f>
        <v>7</v>
      </c>
      <c r="BV11" s="284">
        <f t="shared" si="21"/>
        <v>511</v>
      </c>
      <c r="BX11" s="222">
        <v>438</v>
      </c>
      <c r="BY11" s="225">
        <f>IF($C11&gt;=Wirtschaftlichkeit!$N$8,Wirtschaftlichkeit!$N$8,IF(AND($C11&lt;=Wirtschaftlichkeit!$N$8,$C11&gt;=Wirtschaftlichkeit!$N$8*Eingabemaske!$B$18),$C11,"0"))</f>
        <v>18.977838419132468</v>
      </c>
      <c r="BZ11" s="222">
        <v>438</v>
      </c>
      <c r="CA11" s="224">
        <f t="shared" si="22"/>
        <v>1385.3822045966701</v>
      </c>
      <c r="CB11" s="222">
        <v>438</v>
      </c>
      <c r="CC11" s="226">
        <f t="shared" si="23"/>
        <v>18.977838419132468</v>
      </c>
      <c r="CD11" s="312">
        <v>438</v>
      </c>
      <c r="CE11" s="286">
        <f>BY11*Wirtschaftlichkeit!$N$5/Wirtschaftlichkeit!$N$7</f>
        <v>8</v>
      </c>
      <c r="CF11" s="284">
        <f t="shared" si="24"/>
        <v>584</v>
      </c>
      <c r="CH11" s="222">
        <v>438</v>
      </c>
      <c r="CI11" s="225">
        <f>IF($C11&gt;=Wirtschaftlichkeit!$O$8,Wirtschaftlichkeit!$O$8,IF(AND($C11&lt;=Wirtschaftlichkeit!$O$8,$C11&gt;=Wirtschaftlichkeit!$O$8*Eingabemaske!$B$18),$C11,"0"))</f>
        <v>20.966443256074175</v>
      </c>
      <c r="CJ11" s="222">
        <v>438</v>
      </c>
      <c r="CK11" s="224">
        <f t="shared" si="25"/>
        <v>1530.5503576934148</v>
      </c>
      <c r="CL11" s="222">
        <v>438</v>
      </c>
      <c r="CM11" s="226">
        <f t="shared" si="26"/>
        <v>20.966443256074175</v>
      </c>
      <c r="CN11" s="312">
        <v>438</v>
      </c>
      <c r="CO11" s="286">
        <f>CI11*Wirtschaftlichkeit!$O$5/Wirtschaftlichkeit!$O$7</f>
        <v>9</v>
      </c>
      <c r="CP11" s="284">
        <f t="shared" si="27"/>
        <v>657</v>
      </c>
      <c r="CR11" s="222">
        <v>438</v>
      </c>
      <c r="CS11" s="225">
        <f>IF($C11&gt;=Wirtschaftlichkeit!$P$8,Wirtschaftlichkeit!$P$8,IF(AND($C11&lt;=Wirtschaftlichkeit!$P$8,$C11&gt;=Wirtschaftlichkeit!$P$8*Eingabemaske!$B$18),$C11,"0"))</f>
        <v>21.888180000000002</v>
      </c>
      <c r="CT11" s="222">
        <v>438</v>
      </c>
      <c r="CU11" s="224">
        <f t="shared" si="28"/>
        <v>1592.4727350000001</v>
      </c>
      <c r="CV11" s="222">
        <v>438</v>
      </c>
      <c r="CW11" s="226">
        <f t="shared" si="29"/>
        <v>21.888180000000002</v>
      </c>
      <c r="CX11" s="312">
        <v>438</v>
      </c>
      <c r="CY11" s="286">
        <f>CS11*Wirtschaftlichkeit!$P$5/Wirtschaftlichkeit!$P$7</f>
        <v>9.5500992948450296</v>
      </c>
      <c r="CZ11" s="284">
        <f t="shared" si="30"/>
        <v>694.8166884402192</v>
      </c>
      <c r="DB11" s="222">
        <v>438</v>
      </c>
      <c r="DC11" s="225">
        <f>IF($C11&gt;=Wirtschaftlichkeit!$Q$8,Wirtschaftlichkeit!$Q$8,IF(AND($C11&lt;=Wirtschaftlichkeit!$Q$8,$C11&gt;=Wirtschaftlichkeit!$Q$8*Eingabemaske!$B$18),$C11,"0"))</f>
        <v>21.888180000000002</v>
      </c>
      <c r="DD11" s="222">
        <v>438</v>
      </c>
      <c r="DE11" s="224">
        <f t="shared" si="31"/>
        <v>1592.4727350000001</v>
      </c>
      <c r="DF11" s="222">
        <v>438</v>
      </c>
      <c r="DG11" s="226">
        <f t="shared" si="32"/>
        <v>21.888180000000002</v>
      </c>
      <c r="DH11" s="312">
        <v>438</v>
      </c>
      <c r="DI11" s="286">
        <f>DC11*Wirtschaftlichkeit!$Q$5/Wirtschaftlichkeit!$Q$7</f>
        <v>10.021927623337707</v>
      </c>
      <c r="DJ11" s="284">
        <f t="shared" si="33"/>
        <v>729.14451965895046</v>
      </c>
      <c r="DL11" s="222">
        <v>438</v>
      </c>
      <c r="DM11" s="225">
        <f>IF($C11&gt;=Wirtschaftlichkeit!$R$8,Wirtschaftlichkeit!$R$8,IF(AND($C11&lt;=Wirtschaftlichkeit!$R$8,$C11&gt;=Wirtschaftlichkeit!$R$8*Eingabemaske!$B$18),$C11,"0"))</f>
        <v>21.888180000000002</v>
      </c>
      <c r="DN11" s="222">
        <v>438</v>
      </c>
      <c r="DO11" s="224">
        <f t="shared" si="34"/>
        <v>1592.4727350000001</v>
      </c>
      <c r="DP11" s="222">
        <v>438</v>
      </c>
      <c r="DQ11" s="226">
        <f t="shared" si="35"/>
        <v>21.888180000000002</v>
      </c>
      <c r="DR11" s="312">
        <v>438</v>
      </c>
      <c r="DS11" s="286">
        <f>DM11*Wirtschaftlichkeit!$R$5/Wirtschaftlichkeit!$R$7</f>
        <v>10.154262498445121</v>
      </c>
      <c r="DT11" s="284">
        <f t="shared" si="36"/>
        <v>738.77253260923624</v>
      </c>
      <c r="DV11" s="222">
        <v>438</v>
      </c>
      <c r="DW11" s="225">
        <f>IF($C11&gt;=Wirtschaftlichkeit!$S$8,Wirtschaftlichkeit!$S$8,IF(AND($C11&lt;=Wirtschaftlichkeit!$S$8,$C11&gt;=Wirtschaftlichkeit!$S$8*Eingabemaske!$B$18),$C11,"0"))</f>
        <v>21.888180000000002</v>
      </c>
      <c r="DX11" s="222">
        <v>438</v>
      </c>
      <c r="DY11" s="224">
        <f t="shared" si="37"/>
        <v>1592.4727350000001</v>
      </c>
      <c r="DZ11" s="222">
        <v>438</v>
      </c>
      <c r="EA11" s="226">
        <f t="shared" si="38"/>
        <v>21.888180000000002</v>
      </c>
      <c r="EB11" s="312">
        <v>438</v>
      </c>
      <c r="EC11" s="286">
        <f>DW11*Wirtschaftlichkeit!$S$5/Wirtschaftlichkeit!$S$7</f>
        <v>10.278038134176215</v>
      </c>
      <c r="ED11" s="284">
        <f t="shared" si="39"/>
        <v>747.77781880292912</v>
      </c>
      <c r="EF11" s="222">
        <v>438</v>
      </c>
      <c r="EG11" s="225">
        <f>IF($C11&gt;=Wirtschaftlichkeit!$T$8,Wirtschaftlichkeit!$T$8,IF(AND($C11&lt;=Wirtschaftlichkeit!$T$8,$C11&gt;=Wirtschaftlichkeit!$T$8*Eingabemaske!$B$18),$C11,"0"))</f>
        <v>21.888180000000002</v>
      </c>
      <c r="EH11" s="222">
        <v>438</v>
      </c>
      <c r="EI11" s="224">
        <f t="shared" si="40"/>
        <v>1592.4727350000001</v>
      </c>
      <c r="EJ11" s="222">
        <v>438</v>
      </c>
      <c r="EK11" s="226">
        <f t="shared" si="41"/>
        <v>21.888180000000002</v>
      </c>
      <c r="EL11" s="312">
        <v>438</v>
      </c>
      <c r="EM11" s="286">
        <f>EG11*Wirtschaftlichkeit!$T$5/Wirtschaftlichkeit!$T$7</f>
        <v>10.394417358338835</v>
      </c>
      <c r="EN11" s="284">
        <f t="shared" si="42"/>
        <v>756.244979681514</v>
      </c>
      <c r="EP11" s="222">
        <v>438</v>
      </c>
      <c r="EQ11" s="225">
        <f>IF($C11&gt;=Wirtschaftlichkeit!$U$8,Wirtschaftlichkeit!$U$8,IF(AND($C11&lt;=Wirtschaftlichkeit!$U$8,$C11&gt;=Wirtschaftlichkeit!$U$8*Eingabemaske!$B$18),$C11,"0"))</f>
        <v>21.888180000000002</v>
      </c>
      <c r="ER11" s="222">
        <v>438</v>
      </c>
      <c r="ES11" s="224">
        <f t="shared" si="43"/>
        <v>1592.4727350000001</v>
      </c>
      <c r="ET11" s="222">
        <v>438</v>
      </c>
      <c r="EU11" s="226">
        <f t="shared" si="44"/>
        <v>21.888180000000002</v>
      </c>
      <c r="EV11" s="312">
        <v>438</v>
      </c>
      <c r="EW11" s="286">
        <f>EQ11*Wirtschaftlichkeit!$U$5/Wirtschaftlichkeit!$U$7</f>
        <v>10.504334670765317</v>
      </c>
      <c r="EX11" s="284">
        <f t="shared" si="45"/>
        <v>764.24200470340475</v>
      </c>
      <c r="EZ11" s="222">
        <v>438</v>
      </c>
      <c r="FA11" s="225">
        <f>IF($C11&gt;=Wirtschaftlichkeit!$V$8,Wirtschaftlichkeit!$V$8,IF(AND($C11&lt;=Wirtschaftlichkeit!$V$8,$C11&gt;=Wirtschaftlichkeit!$V$8*Eingabemaske!$B$18),$C11,"0"))</f>
        <v>21.888180000000002</v>
      </c>
      <c r="FB11" s="222">
        <v>438</v>
      </c>
      <c r="FC11" s="224">
        <f t="shared" si="46"/>
        <v>1592.4727350000001</v>
      </c>
      <c r="FD11" s="222">
        <v>438</v>
      </c>
      <c r="FE11" s="226">
        <f t="shared" si="47"/>
        <v>21.888180000000002</v>
      </c>
      <c r="FF11" s="312">
        <v>438</v>
      </c>
      <c r="FG11" s="286">
        <f>FA11*Wirtschaftlichkeit!$V$5/Wirtschaftlichkeit!$V$7</f>
        <v>10.608553068822351</v>
      </c>
      <c r="FH11" s="284">
        <f t="shared" si="48"/>
        <v>771.82440567923743</v>
      </c>
      <c r="FJ11" s="222">
        <v>438</v>
      </c>
      <c r="FK11" s="225">
        <f>IF($C11&gt;=Wirtschaftlichkeit!$W$8,Wirtschaftlichkeit!$W$8,IF(AND($C11&lt;=Wirtschaftlichkeit!$W$8,$C11&gt;=Wirtschaftlichkeit!$W$8*Eingabemaske!$B$18),$C11,"0"))</f>
        <v>21.888180000000002</v>
      </c>
      <c r="FL11" s="222">
        <v>438</v>
      </c>
      <c r="FM11" s="224">
        <f t="shared" si="49"/>
        <v>1592.4727350000001</v>
      </c>
      <c r="FN11" s="222">
        <v>438</v>
      </c>
      <c r="FO11" s="226">
        <f t="shared" si="50"/>
        <v>21.888180000000002</v>
      </c>
      <c r="FP11" s="312">
        <v>438</v>
      </c>
      <c r="FQ11" s="286">
        <f>FK11*Wirtschaftlichkeit!$W$5/Wirtschaftlichkeit!$W$7</f>
        <v>10.707704112067736</v>
      </c>
      <c r="FR11" s="284">
        <f t="shared" si="51"/>
        <v>779.03813167267697</v>
      </c>
      <c r="FT11" s="222">
        <v>438</v>
      </c>
      <c r="FU11" s="225">
        <f>IF($C11&gt;=Wirtschaftlichkeit!$X$8,Wirtschaftlichkeit!$X$8,IF(AND($C11&lt;=Wirtschaftlichkeit!$X$8,$C11&gt;=Wirtschaftlichkeit!$X$8*Eingabemaske!$B$18),$C11,"0"))</f>
        <v>21.888180000000002</v>
      </c>
      <c r="FV11" s="222">
        <v>438</v>
      </c>
      <c r="FW11" s="224">
        <f t="shared" si="52"/>
        <v>1592.4727350000001</v>
      </c>
      <c r="FX11" s="222">
        <v>438</v>
      </c>
      <c r="FY11" s="226">
        <f t="shared" si="53"/>
        <v>21.888180000000002</v>
      </c>
      <c r="FZ11" s="312">
        <v>438</v>
      </c>
      <c r="GA11" s="286">
        <f>FU11*Wirtschaftlichkeit!$X$5/Wirtschaftlichkeit!$X$7</f>
        <v>10.802316852942157</v>
      </c>
      <c r="GB11" s="284">
        <f t="shared" si="54"/>
        <v>785.92167385051607</v>
      </c>
      <c r="GD11" s="222">
        <v>438</v>
      </c>
      <c r="GE11" s="225">
        <f>IF($C11&gt;=Wirtschaftlichkeit!$Y$8,Wirtschaftlichkeit!$Y$8,IF(AND($C11&lt;=Wirtschaftlichkeit!$Y$8,$C11&gt;=Wirtschaftlichkeit!$Y$8*Eingabemaske!$B$18),$C11,"0"))</f>
        <v>21.888180000000002</v>
      </c>
      <c r="GF11" s="222">
        <v>438</v>
      </c>
      <c r="GG11" s="224">
        <f t="shared" si="55"/>
        <v>1592.4727350000001</v>
      </c>
      <c r="GH11" s="222">
        <v>438</v>
      </c>
      <c r="GI11" s="226">
        <f t="shared" si="56"/>
        <v>21.888180000000002</v>
      </c>
      <c r="GJ11" s="312">
        <v>438</v>
      </c>
      <c r="GK11" s="286">
        <f>GE11*Wirtschaftlichkeit!$Y$5/Wirtschaftlichkeit!$Y$7</f>
        <v>10.892839166960385</v>
      </c>
      <c r="GL11" s="284">
        <f t="shared" si="57"/>
        <v>792.5076173589822</v>
      </c>
      <c r="GN11" s="222">
        <v>438</v>
      </c>
      <c r="GO11" s="225">
        <f>IF($C11&gt;=Wirtschaftlichkeit!$Z$8,Wirtschaftlichkeit!$Z$8,IF(AND($C11&lt;=Wirtschaftlichkeit!$Z$8,$C11&gt;=Wirtschaftlichkeit!$Z$8*Eingabemaske!$B$18),$C11,"0"))</f>
        <v>21.888180000000002</v>
      </c>
      <c r="GP11" s="222">
        <v>438</v>
      </c>
      <c r="GQ11" s="224">
        <f t="shared" si="58"/>
        <v>1592.4727350000001</v>
      </c>
      <c r="GR11" s="222">
        <v>438</v>
      </c>
      <c r="GS11" s="226">
        <f t="shared" si="59"/>
        <v>21.888180000000002</v>
      </c>
      <c r="GT11" s="312">
        <v>438</v>
      </c>
      <c r="GU11" s="286">
        <f>GO11*Wirtschaftlichkeit!$Z$5/Wirtschaftlichkeit!$Z$7</f>
        <v>10.979653769467017</v>
      </c>
      <c r="GV11" s="284">
        <f t="shared" si="60"/>
        <v>798.8238066214825</v>
      </c>
      <c r="GW11" s="266"/>
      <c r="GX11" s="258">
        <v>438</v>
      </c>
      <c r="GY11" s="270">
        <f>IF(Berechnung_Diagramme!$C$28=Berechnungen_Lastgang!$F$2,Berechnungen_Lastgang!G11,IF(Berechnung_Diagramme!$C$28=Berechnungen_Lastgang!$P$2,Berechnungen_Lastgang!Q11,IF(Berechnung_Diagramme!$C$28=Berechnungen_Lastgang!$Z$2,Berechnungen_Lastgang!AA11,IF(Berechnung_Diagramme!$C$28=Berechnungen_Lastgang!$AJ$2,Berechnungen_Lastgang!AK11,IF(Berechnung_Diagramme!$C$28=Berechnungen_Lastgang!$AT$2,Berechnungen_Lastgang!AU11,IF(Berechnung_Diagramme!$C$28=Berechnungen_Lastgang!$BD$2,Berechnungen_Lastgang!BE11,IF(Berechnung_Diagramme!$C$28=Berechnungen_Lastgang!$BN$2,Berechnungen_Lastgang!BO11,IF(Berechnung_Diagramme!$C$28=Berechnungen_Lastgang!$BX$2,Berechnungen_Lastgang!BY11,IF(Berechnung_Diagramme!$C$28=Berechnungen_Lastgang!$CH$2,Berechnungen_Lastgang!CI11,IF(Berechnung_Diagramme!$C$28=Berechnungen_Lastgang!$CR$2,Berechnungen_Lastgang!CS11,IF(Berechnung_Diagramme!$C$28=Berechnungen_Lastgang!$DB$2,Berechnungen_Lastgang!DC11,IF(Berechnung_Diagramme!$C$28=Berechnungen_Lastgang!$DL$2,Berechnungen_Lastgang!DM11,IF(Berechnung_Diagramme!$C$28=Berechnungen_Lastgang!$DV$2,Berechnungen_Lastgang!DW11,IF(Berechnung_Diagramme!$C$28=Berechnungen_Lastgang!$EF$2,Berechnungen_Lastgang!EG11,IF(Berechnung_Diagramme!$C$28=Berechnungen_Lastgang!$EP$2,Berechnungen_Lastgang!EQ11,IF(Berechnung_Diagramme!$C$28=Berechnungen_Lastgang!$EZ$2,Berechnungen_Lastgang!FA11,IF(Berechnung_Diagramme!$C$28=Berechnungen_Lastgang!$FJ$2,Berechnungen_Lastgang!FK11,IF(Berechnung_Diagramme!$C$28=Berechnungen_Lastgang!$FT$2,Berechnungen_Lastgang!FU11,IF(Berechnung_Diagramme!$C$28=Berechnungen_Lastgang!$GD$2,Berechnungen_Lastgang!GE11,IF(Berechnung_Diagramme!$C$28=Berechnungen_Lastgang!$GN$2,Berechnungen_Lastgang!GO11,""))))))))))))))))))))</f>
        <v>20.966443256074175</v>
      </c>
    </row>
    <row r="12" spans="2:208" ht="14.45" x14ac:dyDescent="0.3">
      <c r="B12" s="64">
        <v>511</v>
      </c>
      <c r="C12" s="67">
        <f>C11+((C15-C11)/(B15-B11))*(B12-B11)</f>
        <v>21.741210000000002</v>
      </c>
      <c r="D12" s="66">
        <f t="shared" si="0"/>
        <v>1581.7439250000002</v>
      </c>
      <c r="F12" s="64">
        <v>511</v>
      </c>
      <c r="G12" s="225">
        <f>IF($C12&gt;=Wirtschaftlichkeit!$G$8,Wirtschaftlichkeit!$G$8,IF(AND($C12&lt;=Wirtschaftlichkeit!$G$8,$C12&gt;=Wirtschaftlichkeit!$G$8*Eingabemaske!$B$18),$C12,"0"))</f>
        <v>2.8333333333333335</v>
      </c>
      <c r="H12" s="64">
        <v>511</v>
      </c>
      <c r="I12" s="66">
        <f t="shared" si="1"/>
        <v>206.83333333333334</v>
      </c>
      <c r="J12" s="64">
        <v>511</v>
      </c>
      <c r="K12" s="71">
        <f t="shared" si="2"/>
        <v>2.8333333333333335</v>
      </c>
      <c r="L12" s="312">
        <v>511</v>
      </c>
      <c r="M12" s="286">
        <f>G12*Wirtschaftlichkeit!$G$5/Wirtschaftlichkeit!$G$7</f>
        <v>1</v>
      </c>
      <c r="N12" s="284">
        <f t="shared" si="3"/>
        <v>73</v>
      </c>
      <c r="P12" s="222">
        <v>511</v>
      </c>
      <c r="Q12" s="225">
        <f>IF($C12&gt;=Wirtschaftlichkeit!$H$8,Wirtschaftlichkeit!$H$8,IF(AND($C12&lt;=Wirtschaftlichkeit!$H$8,$C12&gt;=Wirtschaftlichkeit!$H$8*Eingabemaske!$B$18),$C12,"0"))</f>
        <v>5.5876288659793811</v>
      </c>
      <c r="R12" s="222">
        <v>511</v>
      </c>
      <c r="S12" s="224">
        <f t="shared" si="4"/>
        <v>407.89690721649481</v>
      </c>
      <c r="T12" s="222">
        <v>511</v>
      </c>
      <c r="U12" s="226">
        <f t="shared" si="5"/>
        <v>5.5876288659793811</v>
      </c>
      <c r="V12" s="312">
        <v>511</v>
      </c>
      <c r="W12" s="286">
        <f>Q12*Wirtschaftlichkeit!$H$5/Wirtschaftlichkeit!$H$7</f>
        <v>2</v>
      </c>
      <c r="X12" s="284">
        <f t="shared" si="6"/>
        <v>146</v>
      </c>
      <c r="Z12" s="222">
        <v>511</v>
      </c>
      <c r="AA12" s="225">
        <f>IF($C12&gt;=Wirtschaftlichkeit!$I$8,Wirtschaftlichkeit!$I$8,IF(AND($C12&lt;=Wirtschaftlichkeit!$I$8,$C12&gt;=Wirtschaftlichkeit!$I$8*Eingabemaske!$B$18),$C12,"0"))</f>
        <v>8.2471643149712612</v>
      </c>
      <c r="AB12" s="222">
        <v>511</v>
      </c>
      <c r="AC12" s="224">
        <f t="shared" si="7"/>
        <v>602.04299499290209</v>
      </c>
      <c r="AD12" s="222">
        <v>511</v>
      </c>
      <c r="AE12" s="226">
        <f t="shared" si="8"/>
        <v>8.2471643149712612</v>
      </c>
      <c r="AF12" s="312">
        <v>511</v>
      </c>
      <c r="AG12" s="286">
        <f>AA12*Wirtschaftlichkeit!$I$5/Wirtschaftlichkeit!$I$7</f>
        <v>3.0000000000000004</v>
      </c>
      <c r="AH12" s="284">
        <f t="shared" si="9"/>
        <v>219.00000000000003</v>
      </c>
      <c r="AJ12" s="222">
        <v>511</v>
      </c>
      <c r="AK12" s="225">
        <f>IF($C12&gt;=Wirtschaftlichkeit!$J$8,Wirtschaftlichkeit!$J$8,IF(AND($C12&lt;=Wirtschaftlichkeit!$J$8,$C12&gt;=Wirtschaftlichkeit!$J$8*Eingabemaske!$B$18),$C12,"0"))</f>
        <v>10.537455322965799</v>
      </c>
      <c r="AL12" s="222">
        <v>511</v>
      </c>
      <c r="AM12" s="224">
        <f t="shared" si="10"/>
        <v>769.23423857650334</v>
      </c>
      <c r="AN12" s="222">
        <v>511</v>
      </c>
      <c r="AO12" s="226">
        <f t="shared" si="11"/>
        <v>10.537455322965799</v>
      </c>
      <c r="AP12" s="312">
        <v>511</v>
      </c>
      <c r="AQ12" s="286">
        <f>AK12*Wirtschaftlichkeit!$J$5/Wirtschaftlichkeit!$J$7</f>
        <v>4</v>
      </c>
      <c r="AR12" s="284">
        <f t="shared" si="12"/>
        <v>292</v>
      </c>
      <c r="AT12" s="222">
        <v>511</v>
      </c>
      <c r="AU12" s="225">
        <f>IF($C12&gt;=Wirtschaftlichkeit!$K$8,Wirtschaftlichkeit!$K$8,IF(AND($C12&lt;=Wirtschaftlichkeit!$K$8,$C12&gt;=Wirtschaftlichkeit!$K$8*Eingabemaske!$B$18),$C12,"0"))</f>
        <v>12.739122166763016</v>
      </c>
      <c r="AV12" s="222">
        <v>511</v>
      </c>
      <c r="AW12" s="224">
        <f t="shared" si="13"/>
        <v>929.95591817370018</v>
      </c>
      <c r="AX12" s="222">
        <v>511</v>
      </c>
      <c r="AY12" s="226">
        <f t="shared" si="14"/>
        <v>12.739122166763016</v>
      </c>
      <c r="AZ12" s="312">
        <v>511</v>
      </c>
      <c r="BA12" s="286">
        <f>AU12*Wirtschaftlichkeit!$K$5/Wirtschaftlichkeit!$K$7</f>
        <v>5</v>
      </c>
      <c r="BB12" s="284">
        <f t="shared" si="15"/>
        <v>365</v>
      </c>
      <c r="BD12" s="222">
        <v>511</v>
      </c>
      <c r="BE12" s="225">
        <f>IF($C12&gt;=Wirtschaftlichkeit!$L$8,Wirtschaftlichkeit!$L$8,IF(AND($C12&lt;=Wirtschaftlichkeit!$L$8,$C12&gt;=Wirtschaftlichkeit!$L$8*Eingabemaske!$B$18),$C12,"0"))</f>
        <v>14.87189090675227</v>
      </c>
      <c r="BF12" s="222">
        <v>511</v>
      </c>
      <c r="BG12" s="224">
        <f t="shared" si="16"/>
        <v>1085.6480361929157</v>
      </c>
      <c r="BH12" s="222">
        <v>511</v>
      </c>
      <c r="BI12" s="226">
        <f t="shared" si="17"/>
        <v>14.87189090675227</v>
      </c>
      <c r="BJ12" s="312">
        <v>511</v>
      </c>
      <c r="BK12" s="286">
        <f>BE12*Wirtschaftlichkeit!$L$5/Wirtschaftlichkeit!$L$7</f>
        <v>6</v>
      </c>
      <c r="BL12" s="284">
        <f t="shared" si="18"/>
        <v>438</v>
      </c>
      <c r="BN12" s="222">
        <v>511</v>
      </c>
      <c r="BO12" s="225">
        <f>IF($C12&gt;=Wirtschaftlichkeit!$M$8,Wirtschaftlichkeit!$M$8,IF(AND($C12&lt;=Wirtschaftlichkeit!$M$8,$C12&gt;=Wirtschaftlichkeit!$M$8*Eingabemaske!$B$18),$C12,"0"))</f>
        <v>16.948500863015312</v>
      </c>
      <c r="BP12" s="222">
        <v>511</v>
      </c>
      <c r="BQ12" s="224">
        <f t="shared" si="19"/>
        <v>1237.2405630001178</v>
      </c>
      <c r="BR12" s="222">
        <v>511</v>
      </c>
      <c r="BS12" s="226">
        <f t="shared" si="20"/>
        <v>16.948500863015312</v>
      </c>
      <c r="BT12" s="312">
        <v>511</v>
      </c>
      <c r="BU12" s="286">
        <f>BO12*Wirtschaftlichkeit!$M$5/Wirtschaftlichkeit!$M$7</f>
        <v>7</v>
      </c>
      <c r="BV12" s="284">
        <f t="shared" si="21"/>
        <v>511</v>
      </c>
      <c r="BX12" s="222">
        <v>511</v>
      </c>
      <c r="BY12" s="225">
        <f>IF($C12&gt;=Wirtschaftlichkeit!$N$8,Wirtschaftlichkeit!$N$8,IF(AND($C12&lt;=Wirtschaftlichkeit!$N$8,$C12&gt;=Wirtschaftlichkeit!$N$8*Eingabemaske!$B$18),$C12,"0"))</f>
        <v>18.977838419132468</v>
      </c>
      <c r="BZ12" s="222">
        <v>511</v>
      </c>
      <c r="CA12" s="224">
        <f t="shared" si="22"/>
        <v>1385.3822045966701</v>
      </c>
      <c r="CB12" s="222">
        <v>511</v>
      </c>
      <c r="CC12" s="226">
        <f t="shared" si="23"/>
        <v>18.977838419132468</v>
      </c>
      <c r="CD12" s="312">
        <v>511</v>
      </c>
      <c r="CE12" s="286">
        <f>BY12*Wirtschaftlichkeit!$N$5/Wirtschaftlichkeit!$N$7</f>
        <v>8</v>
      </c>
      <c r="CF12" s="284">
        <f t="shared" si="24"/>
        <v>584</v>
      </c>
      <c r="CH12" s="222">
        <v>511</v>
      </c>
      <c r="CI12" s="225">
        <f>IF($C12&gt;=Wirtschaftlichkeit!$O$8,Wirtschaftlichkeit!$O$8,IF(AND($C12&lt;=Wirtschaftlichkeit!$O$8,$C12&gt;=Wirtschaftlichkeit!$O$8*Eingabemaske!$B$18),$C12,"0"))</f>
        <v>20.966443256074175</v>
      </c>
      <c r="CJ12" s="222">
        <v>511</v>
      </c>
      <c r="CK12" s="224">
        <f t="shared" si="25"/>
        <v>1530.5503576934148</v>
      </c>
      <c r="CL12" s="222">
        <v>511</v>
      </c>
      <c r="CM12" s="226">
        <f t="shared" si="26"/>
        <v>20.966443256074175</v>
      </c>
      <c r="CN12" s="312">
        <v>511</v>
      </c>
      <c r="CO12" s="286">
        <f>CI12*Wirtschaftlichkeit!$O$5/Wirtschaftlichkeit!$O$7</f>
        <v>9</v>
      </c>
      <c r="CP12" s="284">
        <f t="shared" si="27"/>
        <v>657</v>
      </c>
      <c r="CR12" s="222">
        <v>511</v>
      </c>
      <c r="CS12" s="225">
        <f>IF($C12&gt;=Wirtschaftlichkeit!$P$8,Wirtschaftlichkeit!$P$8,IF(AND($C12&lt;=Wirtschaftlichkeit!$P$8,$C12&gt;=Wirtschaftlichkeit!$P$8*Eingabemaske!$B$18),$C12,"0"))</f>
        <v>21.741210000000002</v>
      </c>
      <c r="CT12" s="222">
        <v>511</v>
      </c>
      <c r="CU12" s="224">
        <f t="shared" si="28"/>
        <v>1581.7439250000002</v>
      </c>
      <c r="CV12" s="222">
        <v>511</v>
      </c>
      <c r="CW12" s="226">
        <f t="shared" si="29"/>
        <v>21.741210000000002</v>
      </c>
      <c r="CX12" s="312">
        <v>511</v>
      </c>
      <c r="CY12" s="286">
        <f>CS12*Wirtschaftlichkeit!$P$5/Wirtschaftlichkeit!$P$7</f>
        <v>9.4859743610513867</v>
      </c>
      <c r="CZ12" s="284">
        <f t="shared" si="30"/>
        <v>690.1355682732833</v>
      </c>
      <c r="DB12" s="222">
        <v>511</v>
      </c>
      <c r="DC12" s="225">
        <f>IF($C12&gt;=Wirtschaftlichkeit!$Q$8,Wirtschaftlichkeit!$Q$8,IF(AND($C12&lt;=Wirtschaftlichkeit!$Q$8,$C12&gt;=Wirtschaftlichkeit!$Q$8*Eingabemaske!$B$18),$C12,"0"))</f>
        <v>21.741210000000002</v>
      </c>
      <c r="DD12" s="222">
        <v>511</v>
      </c>
      <c r="DE12" s="224">
        <f t="shared" si="31"/>
        <v>1581.7439250000002</v>
      </c>
      <c r="DF12" s="222">
        <v>511</v>
      </c>
      <c r="DG12" s="226">
        <f t="shared" si="32"/>
        <v>21.741210000000002</v>
      </c>
      <c r="DH12" s="312">
        <v>511</v>
      </c>
      <c r="DI12" s="286">
        <f>DC12*Wirtschaftlichkeit!$Q$5/Wirtschaftlichkeit!$Q$7</f>
        <v>9.9546345590992935</v>
      </c>
      <c r="DJ12" s="284">
        <f t="shared" si="33"/>
        <v>724.23212596954636</v>
      </c>
      <c r="DL12" s="222">
        <v>511</v>
      </c>
      <c r="DM12" s="225">
        <f>IF($C12&gt;=Wirtschaftlichkeit!$R$8,Wirtschaftlichkeit!$R$8,IF(AND($C12&lt;=Wirtschaftlichkeit!$R$8,$C12&gt;=Wirtschaftlichkeit!$R$8*Eingabemaske!$B$18),$C12,"0"))</f>
        <v>21.741210000000002</v>
      </c>
      <c r="DN12" s="222">
        <v>511</v>
      </c>
      <c r="DO12" s="224">
        <f t="shared" si="34"/>
        <v>1581.7439250000002</v>
      </c>
      <c r="DP12" s="222">
        <v>511</v>
      </c>
      <c r="DQ12" s="226">
        <f t="shared" si="35"/>
        <v>21.741210000000002</v>
      </c>
      <c r="DR12" s="312">
        <v>511</v>
      </c>
      <c r="DS12" s="286">
        <f>DM12*Wirtschaftlichkeit!$R$5/Wirtschaftlichkeit!$R$7</f>
        <v>10.086080860712039</v>
      </c>
      <c r="DT12" s="284">
        <f t="shared" si="36"/>
        <v>733.79527305472152</v>
      </c>
      <c r="DV12" s="222">
        <v>511</v>
      </c>
      <c r="DW12" s="225">
        <f>IF($C12&gt;=Wirtschaftlichkeit!$S$8,Wirtschaftlichkeit!$S$8,IF(AND($C12&lt;=Wirtschaftlichkeit!$S$8,$C12&gt;=Wirtschaftlichkeit!$S$8*Eingabemaske!$B$18),$C12,"0"))</f>
        <v>21.741210000000002</v>
      </c>
      <c r="DX12" s="222">
        <v>511</v>
      </c>
      <c r="DY12" s="224">
        <f t="shared" si="37"/>
        <v>1581.7439250000002</v>
      </c>
      <c r="DZ12" s="222">
        <v>511</v>
      </c>
      <c r="EA12" s="226">
        <f t="shared" si="38"/>
        <v>21.741210000000002</v>
      </c>
      <c r="EB12" s="312">
        <v>511</v>
      </c>
      <c r="EC12" s="286">
        <f>DW12*Wirtschaftlichkeit!$S$5/Wirtschaftlichkeit!$S$7</f>
        <v>10.209025394671155</v>
      </c>
      <c r="ED12" s="284">
        <f t="shared" si="39"/>
        <v>742.7398888190595</v>
      </c>
      <c r="EF12" s="222">
        <v>511</v>
      </c>
      <c r="EG12" s="225">
        <f>IF($C12&gt;=Wirtschaftlichkeit!$T$8,Wirtschaftlichkeit!$T$8,IF(AND($C12&lt;=Wirtschaftlichkeit!$T$8,$C12&gt;=Wirtschaftlichkeit!$T$8*Eingabemaske!$B$18),$C12,"0"))</f>
        <v>21.741210000000002</v>
      </c>
      <c r="EH12" s="222">
        <v>511</v>
      </c>
      <c r="EI12" s="224">
        <f t="shared" si="40"/>
        <v>1581.7439250000002</v>
      </c>
      <c r="EJ12" s="222">
        <v>511</v>
      </c>
      <c r="EK12" s="226">
        <f t="shared" si="41"/>
        <v>21.741210000000002</v>
      </c>
      <c r="EL12" s="312">
        <v>511</v>
      </c>
      <c r="EM12" s="286">
        <f>EG12*Wirtschaftlichkeit!$T$5/Wirtschaftlichkeit!$T$7</f>
        <v>10.324623180880726</v>
      </c>
      <c r="EN12" s="284">
        <f t="shared" si="42"/>
        <v>751.15000472707197</v>
      </c>
      <c r="EP12" s="222">
        <v>511</v>
      </c>
      <c r="EQ12" s="225">
        <f>IF($C12&gt;=Wirtschaftlichkeit!$U$8,Wirtschaftlichkeit!$U$8,IF(AND($C12&lt;=Wirtschaftlichkeit!$U$8,$C12&gt;=Wirtschaftlichkeit!$U$8*Eingabemaske!$B$18),$C12,"0"))</f>
        <v>21.741210000000002</v>
      </c>
      <c r="ER12" s="222">
        <v>511</v>
      </c>
      <c r="ES12" s="224">
        <f t="shared" si="43"/>
        <v>1581.7439250000002</v>
      </c>
      <c r="ET12" s="222">
        <v>511</v>
      </c>
      <c r="EU12" s="226">
        <f t="shared" si="44"/>
        <v>21.741210000000002</v>
      </c>
      <c r="EV12" s="312">
        <v>511</v>
      </c>
      <c r="EW12" s="286">
        <f>EQ12*Wirtschaftlichkeit!$U$5/Wirtschaftlichkeit!$U$7</f>
        <v>10.433802444396457</v>
      </c>
      <c r="EX12" s="284">
        <f t="shared" si="45"/>
        <v>759.09315217847791</v>
      </c>
      <c r="EZ12" s="222">
        <v>511</v>
      </c>
      <c r="FA12" s="225">
        <f>IF($C12&gt;=Wirtschaftlichkeit!$V$8,Wirtschaftlichkeit!$V$8,IF(AND($C12&lt;=Wirtschaftlichkeit!$V$8,$C12&gt;=Wirtschaftlichkeit!$V$8*Eingabemaske!$B$18),$C12,"0"))</f>
        <v>21.741210000000002</v>
      </c>
      <c r="FB12" s="222">
        <v>511</v>
      </c>
      <c r="FC12" s="224">
        <f t="shared" si="46"/>
        <v>1581.7439250000002</v>
      </c>
      <c r="FD12" s="222">
        <v>511</v>
      </c>
      <c r="FE12" s="226">
        <f t="shared" si="47"/>
        <v>21.741210000000002</v>
      </c>
      <c r="FF12" s="312">
        <v>511</v>
      </c>
      <c r="FG12" s="286">
        <f>FA12*Wirtschaftlichkeit!$V$5/Wirtschaftlichkeit!$V$7</f>
        <v>10.537321059375934</v>
      </c>
      <c r="FH12" s="284">
        <f t="shared" si="48"/>
        <v>766.62446898964913</v>
      </c>
      <c r="FJ12" s="222">
        <v>511</v>
      </c>
      <c r="FK12" s="225">
        <f>IF($C12&gt;=Wirtschaftlichkeit!$W$8,Wirtschaftlichkeit!$W$8,IF(AND($C12&lt;=Wirtschaftlichkeit!$W$8,$C12&gt;=Wirtschaftlichkeit!$W$8*Eingabemaske!$B$18),$C12,"0"))</f>
        <v>21.741210000000002</v>
      </c>
      <c r="FL12" s="222">
        <v>511</v>
      </c>
      <c r="FM12" s="224">
        <f t="shared" si="49"/>
        <v>1581.7439250000002</v>
      </c>
      <c r="FN12" s="222">
        <v>511</v>
      </c>
      <c r="FO12" s="226">
        <f t="shared" si="50"/>
        <v>21.741210000000002</v>
      </c>
      <c r="FP12" s="312">
        <v>511</v>
      </c>
      <c r="FQ12" s="286">
        <f>FK12*Wirtschaftlichkeit!$W$5/Wirtschaftlichkeit!$W$7</f>
        <v>10.635806344717933</v>
      </c>
      <c r="FR12" s="284">
        <f t="shared" si="51"/>
        <v>773.78959465614139</v>
      </c>
      <c r="FT12" s="222">
        <v>511</v>
      </c>
      <c r="FU12" s="225">
        <f>IF($C12&gt;=Wirtschaftlichkeit!$X$8,Wirtschaftlichkeit!$X$8,IF(AND($C12&lt;=Wirtschaftlichkeit!$X$8,$C12&gt;=Wirtschaftlichkeit!$X$8*Eingabemaske!$B$18),$C12,"0"))</f>
        <v>21.741210000000002</v>
      </c>
      <c r="FV12" s="222">
        <v>511</v>
      </c>
      <c r="FW12" s="224">
        <f t="shared" si="52"/>
        <v>1581.7439250000002</v>
      </c>
      <c r="FX12" s="222">
        <v>511</v>
      </c>
      <c r="FY12" s="226">
        <f t="shared" si="53"/>
        <v>21.741210000000002</v>
      </c>
      <c r="FZ12" s="312">
        <v>511</v>
      </c>
      <c r="GA12" s="286">
        <f>FU12*Wirtschaftlichkeit!$X$5/Wirtschaftlichkeit!$X$7</f>
        <v>10.729783800496641</v>
      </c>
      <c r="GB12" s="284">
        <f t="shared" si="54"/>
        <v>780.6267610219935</v>
      </c>
      <c r="GD12" s="222">
        <v>511</v>
      </c>
      <c r="GE12" s="225">
        <f>IF($C12&gt;=Wirtschaftlichkeit!$Y$8,Wirtschaftlichkeit!$Y$8,IF(AND($C12&lt;=Wirtschaftlichkeit!$Y$8,$C12&gt;=Wirtschaftlichkeit!$Y$8*Eingabemaske!$B$18),$C12,"0"))</f>
        <v>21.741210000000002</v>
      </c>
      <c r="GF12" s="222">
        <v>511</v>
      </c>
      <c r="GG12" s="224">
        <f t="shared" si="55"/>
        <v>1581.7439250000002</v>
      </c>
      <c r="GH12" s="222">
        <v>511</v>
      </c>
      <c r="GI12" s="226">
        <f t="shared" si="56"/>
        <v>21.741210000000002</v>
      </c>
      <c r="GJ12" s="312">
        <v>511</v>
      </c>
      <c r="GK12" s="286">
        <f>GE12*Wirtschaftlichkeit!$Y$5/Wirtschaftlichkeit!$Y$7</f>
        <v>10.819698294929537</v>
      </c>
      <c r="GL12" s="284">
        <f t="shared" si="57"/>
        <v>787.16833370073027</v>
      </c>
      <c r="GN12" s="222">
        <v>511</v>
      </c>
      <c r="GO12" s="225">
        <f>IF($C12&gt;=Wirtschaftlichkeit!$Z$8,Wirtschaftlichkeit!$Z$8,IF(AND($C12&lt;=Wirtschaftlichkeit!$Z$8,$C12&gt;=Wirtschaftlichkeit!$Z$8*Eingabemaske!$B$18),$C12,"0"))</f>
        <v>21.741210000000002</v>
      </c>
      <c r="GP12" s="222">
        <v>511</v>
      </c>
      <c r="GQ12" s="224">
        <f t="shared" si="58"/>
        <v>1581.7439250000002</v>
      </c>
      <c r="GR12" s="222">
        <v>511</v>
      </c>
      <c r="GS12" s="226">
        <f t="shared" si="59"/>
        <v>21.741210000000002</v>
      </c>
      <c r="GT12" s="312">
        <v>511</v>
      </c>
      <c r="GU12" s="286">
        <f>GO12*Wirtschaftlichkeit!$Z$5/Wirtschaftlichkeit!$Z$7</f>
        <v>10.905929973587298</v>
      </c>
      <c r="GV12" s="284">
        <f t="shared" si="60"/>
        <v>793.44196952226287</v>
      </c>
      <c r="GW12" s="266"/>
      <c r="GX12" s="258">
        <v>511</v>
      </c>
      <c r="GY12" s="270">
        <f>IF(Berechnung_Diagramme!$C$28=Berechnungen_Lastgang!$F$2,Berechnungen_Lastgang!G12,IF(Berechnung_Diagramme!$C$28=Berechnungen_Lastgang!$P$2,Berechnungen_Lastgang!Q12,IF(Berechnung_Diagramme!$C$28=Berechnungen_Lastgang!$Z$2,Berechnungen_Lastgang!AA12,IF(Berechnung_Diagramme!$C$28=Berechnungen_Lastgang!$AJ$2,Berechnungen_Lastgang!AK12,IF(Berechnung_Diagramme!$C$28=Berechnungen_Lastgang!$AT$2,Berechnungen_Lastgang!AU12,IF(Berechnung_Diagramme!$C$28=Berechnungen_Lastgang!$BD$2,Berechnungen_Lastgang!BE12,IF(Berechnung_Diagramme!$C$28=Berechnungen_Lastgang!$BN$2,Berechnungen_Lastgang!BO12,IF(Berechnung_Diagramme!$C$28=Berechnungen_Lastgang!$BX$2,Berechnungen_Lastgang!BY12,IF(Berechnung_Diagramme!$C$28=Berechnungen_Lastgang!$CH$2,Berechnungen_Lastgang!CI12,IF(Berechnung_Diagramme!$C$28=Berechnungen_Lastgang!$CR$2,Berechnungen_Lastgang!CS12,IF(Berechnung_Diagramme!$C$28=Berechnungen_Lastgang!$DB$2,Berechnungen_Lastgang!DC12,IF(Berechnung_Diagramme!$C$28=Berechnungen_Lastgang!$DL$2,Berechnungen_Lastgang!DM12,IF(Berechnung_Diagramme!$C$28=Berechnungen_Lastgang!$DV$2,Berechnungen_Lastgang!DW12,IF(Berechnung_Diagramme!$C$28=Berechnungen_Lastgang!$EF$2,Berechnungen_Lastgang!EG12,IF(Berechnung_Diagramme!$C$28=Berechnungen_Lastgang!$EP$2,Berechnungen_Lastgang!EQ12,IF(Berechnung_Diagramme!$C$28=Berechnungen_Lastgang!$EZ$2,Berechnungen_Lastgang!FA12,IF(Berechnung_Diagramme!$C$28=Berechnungen_Lastgang!$FJ$2,Berechnungen_Lastgang!FK12,IF(Berechnung_Diagramme!$C$28=Berechnungen_Lastgang!$FT$2,Berechnungen_Lastgang!FU12,IF(Berechnung_Diagramme!$C$28=Berechnungen_Lastgang!$GD$2,Berechnungen_Lastgang!GE12,IF(Berechnung_Diagramme!$C$28=Berechnungen_Lastgang!$GN$2,Berechnungen_Lastgang!GO12,""))))))))))))))))))))</f>
        <v>20.966443256074175</v>
      </c>
    </row>
    <row r="13" spans="2:208" ht="14.45" x14ac:dyDescent="0.3">
      <c r="B13" s="64">
        <v>584</v>
      </c>
      <c r="C13" s="67">
        <f>C12+((C15-C12)/(B15-B12))*(B13-B12)</f>
        <v>21.594240000000003</v>
      </c>
      <c r="D13" s="66">
        <f t="shared" si="0"/>
        <v>1571.0151150000002</v>
      </c>
      <c r="F13" s="64">
        <v>584</v>
      </c>
      <c r="G13" s="225">
        <f>IF($C13&gt;=Wirtschaftlichkeit!$G$8,Wirtschaftlichkeit!$G$8,IF(AND($C13&lt;=Wirtschaftlichkeit!$G$8,$C13&gt;=Wirtschaftlichkeit!$G$8*Eingabemaske!$B$18),$C13,"0"))</f>
        <v>2.8333333333333335</v>
      </c>
      <c r="H13" s="64">
        <v>584</v>
      </c>
      <c r="I13" s="66">
        <f t="shared" si="1"/>
        <v>206.83333333333334</v>
      </c>
      <c r="J13" s="64">
        <v>584</v>
      </c>
      <c r="K13" s="71">
        <f t="shared" si="2"/>
        <v>2.8333333333333335</v>
      </c>
      <c r="L13" s="312">
        <v>584</v>
      </c>
      <c r="M13" s="286">
        <f>G13*Wirtschaftlichkeit!$G$5/Wirtschaftlichkeit!$G$7</f>
        <v>1</v>
      </c>
      <c r="N13" s="284">
        <f t="shared" si="3"/>
        <v>73</v>
      </c>
      <c r="P13" s="222">
        <v>584</v>
      </c>
      <c r="Q13" s="225">
        <f>IF($C13&gt;=Wirtschaftlichkeit!$H$8,Wirtschaftlichkeit!$H$8,IF(AND($C13&lt;=Wirtschaftlichkeit!$H$8,$C13&gt;=Wirtschaftlichkeit!$H$8*Eingabemaske!$B$18),$C13,"0"))</f>
        <v>5.5876288659793811</v>
      </c>
      <c r="R13" s="222">
        <v>584</v>
      </c>
      <c r="S13" s="224">
        <f t="shared" si="4"/>
        <v>407.89690721649481</v>
      </c>
      <c r="T13" s="222">
        <v>584</v>
      </c>
      <c r="U13" s="226">
        <f t="shared" si="5"/>
        <v>5.5876288659793811</v>
      </c>
      <c r="V13" s="312">
        <v>584</v>
      </c>
      <c r="W13" s="286">
        <f>Q13*Wirtschaftlichkeit!$H$5/Wirtschaftlichkeit!$H$7</f>
        <v>2</v>
      </c>
      <c r="X13" s="284">
        <f t="shared" si="6"/>
        <v>146</v>
      </c>
      <c r="Z13" s="222">
        <v>584</v>
      </c>
      <c r="AA13" s="225">
        <f>IF($C13&gt;=Wirtschaftlichkeit!$I$8,Wirtschaftlichkeit!$I$8,IF(AND($C13&lt;=Wirtschaftlichkeit!$I$8,$C13&gt;=Wirtschaftlichkeit!$I$8*Eingabemaske!$B$18),$C13,"0"))</f>
        <v>8.2471643149712612</v>
      </c>
      <c r="AB13" s="222">
        <v>584</v>
      </c>
      <c r="AC13" s="224">
        <f t="shared" si="7"/>
        <v>602.04299499290209</v>
      </c>
      <c r="AD13" s="222">
        <v>584</v>
      </c>
      <c r="AE13" s="226">
        <f t="shared" si="8"/>
        <v>8.2471643149712612</v>
      </c>
      <c r="AF13" s="312">
        <v>584</v>
      </c>
      <c r="AG13" s="286">
        <f>AA13*Wirtschaftlichkeit!$I$5/Wirtschaftlichkeit!$I$7</f>
        <v>3.0000000000000004</v>
      </c>
      <c r="AH13" s="284">
        <f t="shared" si="9"/>
        <v>219.00000000000003</v>
      </c>
      <c r="AJ13" s="222">
        <v>584</v>
      </c>
      <c r="AK13" s="225">
        <f>IF($C13&gt;=Wirtschaftlichkeit!$J$8,Wirtschaftlichkeit!$J$8,IF(AND($C13&lt;=Wirtschaftlichkeit!$J$8,$C13&gt;=Wirtschaftlichkeit!$J$8*Eingabemaske!$B$18),$C13,"0"))</f>
        <v>10.537455322965799</v>
      </c>
      <c r="AL13" s="222">
        <v>584</v>
      </c>
      <c r="AM13" s="224">
        <f t="shared" si="10"/>
        <v>769.23423857650334</v>
      </c>
      <c r="AN13" s="222">
        <v>584</v>
      </c>
      <c r="AO13" s="226">
        <f t="shared" si="11"/>
        <v>10.537455322965799</v>
      </c>
      <c r="AP13" s="312">
        <v>584</v>
      </c>
      <c r="AQ13" s="286">
        <f>AK13*Wirtschaftlichkeit!$J$5/Wirtschaftlichkeit!$J$7</f>
        <v>4</v>
      </c>
      <c r="AR13" s="284">
        <f t="shared" si="12"/>
        <v>292</v>
      </c>
      <c r="AT13" s="222">
        <v>584</v>
      </c>
      <c r="AU13" s="225">
        <f>IF($C13&gt;=Wirtschaftlichkeit!$K$8,Wirtschaftlichkeit!$K$8,IF(AND($C13&lt;=Wirtschaftlichkeit!$K$8,$C13&gt;=Wirtschaftlichkeit!$K$8*Eingabemaske!$B$18),$C13,"0"))</f>
        <v>12.739122166763016</v>
      </c>
      <c r="AV13" s="222">
        <v>584</v>
      </c>
      <c r="AW13" s="224">
        <f t="shared" si="13"/>
        <v>929.95591817370018</v>
      </c>
      <c r="AX13" s="222">
        <v>584</v>
      </c>
      <c r="AY13" s="226">
        <f t="shared" si="14"/>
        <v>12.739122166763016</v>
      </c>
      <c r="AZ13" s="312">
        <v>584</v>
      </c>
      <c r="BA13" s="286">
        <f>AU13*Wirtschaftlichkeit!$K$5/Wirtschaftlichkeit!$K$7</f>
        <v>5</v>
      </c>
      <c r="BB13" s="284">
        <f t="shared" si="15"/>
        <v>365</v>
      </c>
      <c r="BD13" s="222">
        <v>584</v>
      </c>
      <c r="BE13" s="225">
        <f>IF($C13&gt;=Wirtschaftlichkeit!$L$8,Wirtschaftlichkeit!$L$8,IF(AND($C13&lt;=Wirtschaftlichkeit!$L$8,$C13&gt;=Wirtschaftlichkeit!$L$8*Eingabemaske!$B$18),$C13,"0"))</f>
        <v>14.87189090675227</v>
      </c>
      <c r="BF13" s="222">
        <v>584</v>
      </c>
      <c r="BG13" s="224">
        <f t="shared" si="16"/>
        <v>1085.6480361929157</v>
      </c>
      <c r="BH13" s="222">
        <v>584</v>
      </c>
      <c r="BI13" s="226">
        <f t="shared" si="17"/>
        <v>14.87189090675227</v>
      </c>
      <c r="BJ13" s="312">
        <v>584</v>
      </c>
      <c r="BK13" s="286">
        <f>BE13*Wirtschaftlichkeit!$L$5/Wirtschaftlichkeit!$L$7</f>
        <v>6</v>
      </c>
      <c r="BL13" s="284">
        <f t="shared" si="18"/>
        <v>438</v>
      </c>
      <c r="BN13" s="222">
        <v>584</v>
      </c>
      <c r="BO13" s="225">
        <f>IF($C13&gt;=Wirtschaftlichkeit!$M$8,Wirtschaftlichkeit!$M$8,IF(AND($C13&lt;=Wirtschaftlichkeit!$M$8,$C13&gt;=Wirtschaftlichkeit!$M$8*Eingabemaske!$B$18),$C13,"0"))</f>
        <v>16.948500863015312</v>
      </c>
      <c r="BP13" s="222">
        <v>584</v>
      </c>
      <c r="BQ13" s="224">
        <f t="shared" si="19"/>
        <v>1237.2405630001178</v>
      </c>
      <c r="BR13" s="222">
        <v>584</v>
      </c>
      <c r="BS13" s="226">
        <f t="shared" si="20"/>
        <v>16.948500863015312</v>
      </c>
      <c r="BT13" s="312">
        <v>584</v>
      </c>
      <c r="BU13" s="286">
        <f>BO13*Wirtschaftlichkeit!$M$5/Wirtschaftlichkeit!$M$7</f>
        <v>7</v>
      </c>
      <c r="BV13" s="284">
        <f t="shared" si="21"/>
        <v>511</v>
      </c>
      <c r="BX13" s="222">
        <v>584</v>
      </c>
      <c r="BY13" s="225">
        <f>IF($C13&gt;=Wirtschaftlichkeit!$N$8,Wirtschaftlichkeit!$N$8,IF(AND($C13&lt;=Wirtschaftlichkeit!$N$8,$C13&gt;=Wirtschaftlichkeit!$N$8*Eingabemaske!$B$18),$C13,"0"))</f>
        <v>18.977838419132468</v>
      </c>
      <c r="BZ13" s="222">
        <v>584</v>
      </c>
      <c r="CA13" s="224">
        <f t="shared" si="22"/>
        <v>1385.3822045966701</v>
      </c>
      <c r="CB13" s="222">
        <v>584</v>
      </c>
      <c r="CC13" s="226">
        <f t="shared" si="23"/>
        <v>18.977838419132468</v>
      </c>
      <c r="CD13" s="312">
        <v>584</v>
      </c>
      <c r="CE13" s="286">
        <f>BY13*Wirtschaftlichkeit!$N$5/Wirtschaftlichkeit!$N$7</f>
        <v>8</v>
      </c>
      <c r="CF13" s="284">
        <f t="shared" si="24"/>
        <v>584</v>
      </c>
      <c r="CH13" s="222">
        <v>584</v>
      </c>
      <c r="CI13" s="225">
        <f>IF($C13&gt;=Wirtschaftlichkeit!$O$8,Wirtschaftlichkeit!$O$8,IF(AND($C13&lt;=Wirtschaftlichkeit!$O$8,$C13&gt;=Wirtschaftlichkeit!$O$8*Eingabemaske!$B$18),$C13,"0"))</f>
        <v>20.966443256074175</v>
      </c>
      <c r="CJ13" s="222">
        <v>584</v>
      </c>
      <c r="CK13" s="224">
        <f t="shared" si="25"/>
        <v>1530.5503576934148</v>
      </c>
      <c r="CL13" s="222">
        <v>584</v>
      </c>
      <c r="CM13" s="226">
        <f t="shared" si="26"/>
        <v>20.966443256074175</v>
      </c>
      <c r="CN13" s="312">
        <v>584</v>
      </c>
      <c r="CO13" s="286">
        <f>CI13*Wirtschaftlichkeit!$O$5/Wirtschaftlichkeit!$O$7</f>
        <v>9</v>
      </c>
      <c r="CP13" s="284">
        <f t="shared" si="27"/>
        <v>657</v>
      </c>
      <c r="CR13" s="222">
        <v>584</v>
      </c>
      <c r="CS13" s="225">
        <f>IF($C13&gt;=Wirtschaftlichkeit!$P$8,Wirtschaftlichkeit!$P$8,IF(AND($C13&lt;=Wirtschaftlichkeit!$P$8,$C13&gt;=Wirtschaftlichkeit!$P$8*Eingabemaske!$B$18),$C13,"0"))</f>
        <v>21.594240000000003</v>
      </c>
      <c r="CT13" s="222">
        <v>584</v>
      </c>
      <c r="CU13" s="224">
        <f t="shared" si="28"/>
        <v>1571.0151150000002</v>
      </c>
      <c r="CV13" s="222">
        <v>584</v>
      </c>
      <c r="CW13" s="226">
        <f t="shared" si="29"/>
        <v>21.594240000000003</v>
      </c>
      <c r="CX13" s="312">
        <v>584</v>
      </c>
      <c r="CY13" s="286">
        <f>CS13*Wirtschaftlichkeit!$P$5/Wirtschaftlichkeit!$P$7</f>
        <v>9.421849427257742</v>
      </c>
      <c r="CZ13" s="284">
        <f t="shared" si="30"/>
        <v>685.45444810634706</v>
      </c>
      <c r="DB13" s="222">
        <v>584</v>
      </c>
      <c r="DC13" s="225">
        <f>IF($C13&gt;=Wirtschaftlichkeit!$Q$8,Wirtschaftlichkeit!$Q$8,IF(AND($C13&lt;=Wirtschaftlichkeit!$Q$8,$C13&gt;=Wirtschaftlichkeit!$Q$8*Eingabemaske!$B$18),$C13,"0"))</f>
        <v>21.594240000000003</v>
      </c>
      <c r="DD13" s="222">
        <v>584</v>
      </c>
      <c r="DE13" s="224">
        <f t="shared" si="31"/>
        <v>1571.0151150000002</v>
      </c>
      <c r="DF13" s="222">
        <v>584</v>
      </c>
      <c r="DG13" s="226">
        <f t="shared" si="32"/>
        <v>21.594240000000003</v>
      </c>
      <c r="DH13" s="312">
        <v>584</v>
      </c>
      <c r="DI13" s="286">
        <f>DC13*Wirtschaftlichkeit!$Q$5/Wirtschaftlichkeit!$Q$7</f>
        <v>9.8873414948608822</v>
      </c>
      <c r="DJ13" s="284">
        <f t="shared" si="33"/>
        <v>719.31973228014238</v>
      </c>
      <c r="DL13" s="222">
        <v>584</v>
      </c>
      <c r="DM13" s="225">
        <f>IF($C13&gt;=Wirtschaftlichkeit!$R$8,Wirtschaftlichkeit!$R$8,IF(AND($C13&lt;=Wirtschaftlichkeit!$R$8,$C13&gt;=Wirtschaftlichkeit!$R$8*Eingabemaske!$B$18),$C13,"0"))</f>
        <v>21.594240000000003</v>
      </c>
      <c r="DN13" s="222">
        <v>584</v>
      </c>
      <c r="DO13" s="224">
        <f t="shared" si="34"/>
        <v>1571.0151150000002</v>
      </c>
      <c r="DP13" s="222">
        <v>584</v>
      </c>
      <c r="DQ13" s="226">
        <f t="shared" si="35"/>
        <v>21.594240000000003</v>
      </c>
      <c r="DR13" s="312">
        <v>584</v>
      </c>
      <c r="DS13" s="286">
        <f>DM13*Wirtschaftlichkeit!$R$5/Wirtschaftlichkeit!$R$7</f>
        <v>10.017899222978958</v>
      </c>
      <c r="DT13" s="284">
        <f t="shared" si="36"/>
        <v>728.81801350020646</v>
      </c>
      <c r="DV13" s="222">
        <v>584</v>
      </c>
      <c r="DW13" s="225">
        <f>IF($C13&gt;=Wirtschaftlichkeit!$S$8,Wirtschaftlichkeit!$S$8,IF(AND($C13&lt;=Wirtschaftlichkeit!$S$8,$C13&gt;=Wirtschaftlichkeit!$S$8*Eingabemaske!$B$18),$C13,"0"))</f>
        <v>21.594240000000003</v>
      </c>
      <c r="DX13" s="222">
        <v>584</v>
      </c>
      <c r="DY13" s="224">
        <f t="shared" si="37"/>
        <v>1571.0151150000002</v>
      </c>
      <c r="DZ13" s="222">
        <v>584</v>
      </c>
      <c r="EA13" s="226">
        <f t="shared" si="38"/>
        <v>21.594240000000003</v>
      </c>
      <c r="EB13" s="312">
        <v>584</v>
      </c>
      <c r="EC13" s="286">
        <f>DW13*Wirtschaftlichkeit!$S$5/Wirtschaftlichkeit!$S$7</f>
        <v>10.140012655166094</v>
      </c>
      <c r="ED13" s="284">
        <f t="shared" si="39"/>
        <v>737.70195883519023</v>
      </c>
      <c r="EF13" s="222">
        <v>584</v>
      </c>
      <c r="EG13" s="225">
        <f>IF($C13&gt;=Wirtschaftlichkeit!$T$8,Wirtschaftlichkeit!$T$8,IF(AND($C13&lt;=Wirtschaftlichkeit!$T$8,$C13&gt;=Wirtschaftlichkeit!$T$8*Eingabemaske!$B$18),$C13,"0"))</f>
        <v>21.594240000000003</v>
      </c>
      <c r="EH13" s="222">
        <v>584</v>
      </c>
      <c r="EI13" s="224">
        <f t="shared" si="40"/>
        <v>1571.0151150000002</v>
      </c>
      <c r="EJ13" s="222">
        <v>584</v>
      </c>
      <c r="EK13" s="226">
        <f t="shared" si="41"/>
        <v>21.594240000000003</v>
      </c>
      <c r="EL13" s="312">
        <v>584</v>
      </c>
      <c r="EM13" s="286">
        <f>EG13*Wirtschaftlichkeit!$T$5/Wirtschaftlichkeit!$T$7</f>
        <v>10.254829003422616</v>
      </c>
      <c r="EN13" s="284">
        <f t="shared" si="42"/>
        <v>746.05502977262995</v>
      </c>
      <c r="EP13" s="222">
        <v>584</v>
      </c>
      <c r="EQ13" s="225">
        <f>IF($C13&gt;=Wirtschaftlichkeit!$U$8,Wirtschaftlichkeit!$U$8,IF(AND($C13&lt;=Wirtschaftlichkeit!$U$8,$C13&gt;=Wirtschaftlichkeit!$U$8*Eingabemaske!$B$18),$C13,"0"))</f>
        <v>21.594240000000003</v>
      </c>
      <c r="ER13" s="222">
        <v>584</v>
      </c>
      <c r="ES13" s="224">
        <f t="shared" si="43"/>
        <v>1571.0151150000002</v>
      </c>
      <c r="ET13" s="222">
        <v>584</v>
      </c>
      <c r="EU13" s="226">
        <f t="shared" si="44"/>
        <v>21.594240000000003</v>
      </c>
      <c r="EV13" s="312">
        <v>584</v>
      </c>
      <c r="EW13" s="286">
        <f>EQ13*Wirtschaftlichkeit!$U$5/Wirtschaftlichkeit!$U$7</f>
        <v>10.363270218027596</v>
      </c>
      <c r="EX13" s="284">
        <f t="shared" si="45"/>
        <v>753.94429965355107</v>
      </c>
      <c r="EZ13" s="222">
        <v>584</v>
      </c>
      <c r="FA13" s="225">
        <f>IF($C13&gt;=Wirtschaftlichkeit!$V$8,Wirtschaftlichkeit!$V$8,IF(AND($C13&lt;=Wirtschaftlichkeit!$V$8,$C13&gt;=Wirtschaftlichkeit!$V$8*Eingabemaske!$B$18),$C13,"0"))</f>
        <v>21.594240000000003</v>
      </c>
      <c r="FB13" s="222">
        <v>584</v>
      </c>
      <c r="FC13" s="224">
        <f t="shared" si="46"/>
        <v>1571.0151150000002</v>
      </c>
      <c r="FD13" s="222">
        <v>584</v>
      </c>
      <c r="FE13" s="226">
        <f t="shared" si="47"/>
        <v>21.594240000000003</v>
      </c>
      <c r="FF13" s="312">
        <v>584</v>
      </c>
      <c r="FG13" s="286">
        <f>FA13*Wirtschaftlichkeit!$V$5/Wirtschaftlichkeit!$V$7</f>
        <v>10.46608904992952</v>
      </c>
      <c r="FH13" s="284">
        <f t="shared" si="48"/>
        <v>761.42453230006083</v>
      </c>
      <c r="FJ13" s="222">
        <v>584</v>
      </c>
      <c r="FK13" s="225">
        <f>IF($C13&gt;=Wirtschaftlichkeit!$W$8,Wirtschaftlichkeit!$W$8,IF(AND($C13&lt;=Wirtschaftlichkeit!$W$8,$C13&gt;=Wirtschaftlichkeit!$W$8*Eingabemaske!$B$18),$C13,"0"))</f>
        <v>21.594240000000003</v>
      </c>
      <c r="FL13" s="222">
        <v>584</v>
      </c>
      <c r="FM13" s="224">
        <f t="shared" si="49"/>
        <v>1571.0151150000002</v>
      </c>
      <c r="FN13" s="222">
        <v>584</v>
      </c>
      <c r="FO13" s="226">
        <f t="shared" si="50"/>
        <v>21.594240000000003</v>
      </c>
      <c r="FP13" s="312">
        <v>584</v>
      </c>
      <c r="FQ13" s="286">
        <f>FK13*Wirtschaftlichkeit!$W$5/Wirtschaftlichkeit!$W$7</f>
        <v>10.563908577368132</v>
      </c>
      <c r="FR13" s="284">
        <f t="shared" si="51"/>
        <v>768.54105763960581</v>
      </c>
      <c r="FT13" s="222">
        <v>584</v>
      </c>
      <c r="FU13" s="225">
        <f>IF($C13&gt;=Wirtschaftlichkeit!$X$8,Wirtschaftlichkeit!$X$8,IF(AND($C13&lt;=Wirtschaftlichkeit!$X$8,$C13&gt;=Wirtschaftlichkeit!$X$8*Eingabemaske!$B$18),$C13,"0"))</f>
        <v>21.594240000000003</v>
      </c>
      <c r="FV13" s="222">
        <v>584</v>
      </c>
      <c r="FW13" s="224">
        <f t="shared" si="52"/>
        <v>1571.0151150000002</v>
      </c>
      <c r="FX13" s="222">
        <v>584</v>
      </c>
      <c r="FY13" s="226">
        <f t="shared" si="53"/>
        <v>21.594240000000003</v>
      </c>
      <c r="FZ13" s="312">
        <v>584</v>
      </c>
      <c r="GA13" s="286">
        <f>FU13*Wirtschaftlichkeit!$X$5/Wirtschaftlichkeit!$X$7</f>
        <v>10.657250748051124</v>
      </c>
      <c r="GB13" s="284">
        <f t="shared" si="54"/>
        <v>775.33184819347071</v>
      </c>
      <c r="GD13" s="222">
        <v>584</v>
      </c>
      <c r="GE13" s="225">
        <f>IF($C13&gt;=Wirtschaftlichkeit!$Y$8,Wirtschaftlichkeit!$Y$8,IF(AND($C13&lt;=Wirtschaftlichkeit!$Y$8,$C13&gt;=Wirtschaftlichkeit!$Y$8*Eingabemaske!$B$18),$C13,"0"))</f>
        <v>21.594240000000003</v>
      </c>
      <c r="GF13" s="222">
        <v>584</v>
      </c>
      <c r="GG13" s="224">
        <f t="shared" si="55"/>
        <v>1571.0151150000002</v>
      </c>
      <c r="GH13" s="222">
        <v>584</v>
      </c>
      <c r="GI13" s="226">
        <f t="shared" si="56"/>
        <v>21.594240000000003</v>
      </c>
      <c r="GJ13" s="312">
        <v>584</v>
      </c>
      <c r="GK13" s="286">
        <f>GE13*Wirtschaftlichkeit!$Y$5/Wirtschaftlichkeit!$Y$7</f>
        <v>10.74655742289869</v>
      </c>
      <c r="GL13" s="284">
        <f t="shared" si="57"/>
        <v>781.82905004247834</v>
      </c>
      <c r="GN13" s="222">
        <v>584</v>
      </c>
      <c r="GO13" s="225">
        <f>IF($C13&gt;=Wirtschaftlichkeit!$Z$8,Wirtschaftlichkeit!$Z$8,IF(AND($C13&lt;=Wirtschaftlichkeit!$Z$8,$C13&gt;=Wirtschaftlichkeit!$Z$8*Eingabemaske!$B$18),$C13,"0"))</f>
        <v>21.594240000000003</v>
      </c>
      <c r="GP13" s="222">
        <v>584</v>
      </c>
      <c r="GQ13" s="224">
        <f t="shared" si="58"/>
        <v>1571.0151150000002</v>
      </c>
      <c r="GR13" s="222">
        <v>584</v>
      </c>
      <c r="GS13" s="226">
        <f t="shared" si="59"/>
        <v>21.594240000000003</v>
      </c>
      <c r="GT13" s="312">
        <v>584</v>
      </c>
      <c r="GU13" s="286">
        <f>GO13*Wirtschaftlichkeit!$Z$5/Wirtschaftlichkeit!$Z$7</f>
        <v>10.832206177707578</v>
      </c>
      <c r="GV13" s="284">
        <f t="shared" si="60"/>
        <v>788.06013242304346</v>
      </c>
      <c r="GW13" s="266"/>
      <c r="GX13" s="258">
        <v>584</v>
      </c>
      <c r="GY13" s="270">
        <f>IF(Berechnung_Diagramme!$C$28=Berechnungen_Lastgang!$F$2,Berechnungen_Lastgang!G13,IF(Berechnung_Diagramme!$C$28=Berechnungen_Lastgang!$P$2,Berechnungen_Lastgang!Q13,IF(Berechnung_Diagramme!$C$28=Berechnungen_Lastgang!$Z$2,Berechnungen_Lastgang!AA13,IF(Berechnung_Diagramme!$C$28=Berechnungen_Lastgang!$AJ$2,Berechnungen_Lastgang!AK13,IF(Berechnung_Diagramme!$C$28=Berechnungen_Lastgang!$AT$2,Berechnungen_Lastgang!AU13,IF(Berechnung_Diagramme!$C$28=Berechnungen_Lastgang!$BD$2,Berechnungen_Lastgang!BE13,IF(Berechnung_Diagramme!$C$28=Berechnungen_Lastgang!$BN$2,Berechnungen_Lastgang!BO13,IF(Berechnung_Diagramme!$C$28=Berechnungen_Lastgang!$BX$2,Berechnungen_Lastgang!BY13,IF(Berechnung_Diagramme!$C$28=Berechnungen_Lastgang!$CH$2,Berechnungen_Lastgang!CI13,IF(Berechnung_Diagramme!$C$28=Berechnungen_Lastgang!$CR$2,Berechnungen_Lastgang!CS13,IF(Berechnung_Diagramme!$C$28=Berechnungen_Lastgang!$DB$2,Berechnungen_Lastgang!DC13,IF(Berechnung_Diagramme!$C$28=Berechnungen_Lastgang!$DL$2,Berechnungen_Lastgang!DM13,IF(Berechnung_Diagramme!$C$28=Berechnungen_Lastgang!$DV$2,Berechnungen_Lastgang!DW13,IF(Berechnung_Diagramme!$C$28=Berechnungen_Lastgang!$EF$2,Berechnungen_Lastgang!EG13,IF(Berechnung_Diagramme!$C$28=Berechnungen_Lastgang!$EP$2,Berechnungen_Lastgang!EQ13,IF(Berechnung_Diagramme!$C$28=Berechnungen_Lastgang!$EZ$2,Berechnungen_Lastgang!FA13,IF(Berechnung_Diagramme!$C$28=Berechnungen_Lastgang!$FJ$2,Berechnungen_Lastgang!FK13,IF(Berechnung_Diagramme!$C$28=Berechnungen_Lastgang!$FT$2,Berechnungen_Lastgang!FU13,IF(Berechnung_Diagramme!$C$28=Berechnungen_Lastgang!$GD$2,Berechnungen_Lastgang!GE13,IF(Berechnung_Diagramme!$C$28=Berechnungen_Lastgang!$GN$2,Berechnungen_Lastgang!GO13,""))))))))))))))))))))</f>
        <v>20.966443256074175</v>
      </c>
    </row>
    <row r="14" spans="2:208" ht="14.45" x14ac:dyDescent="0.3">
      <c r="B14" s="64">
        <v>657</v>
      </c>
      <c r="C14" s="67">
        <f>C13+((C15-C13)/(B15-B13))*(B14-B13)</f>
        <v>21.447270000000003</v>
      </c>
      <c r="D14" s="66">
        <f t="shared" si="0"/>
        <v>1560.2863050000001</v>
      </c>
      <c r="F14" s="64">
        <v>657</v>
      </c>
      <c r="G14" s="225">
        <f>IF($C14&gt;=Wirtschaftlichkeit!$G$8,Wirtschaftlichkeit!$G$8,IF(AND($C14&lt;=Wirtschaftlichkeit!$G$8,$C14&gt;=Wirtschaftlichkeit!$G$8*Eingabemaske!$B$18),$C14,"0"))</f>
        <v>2.8333333333333335</v>
      </c>
      <c r="H14" s="64">
        <v>657</v>
      </c>
      <c r="I14" s="66">
        <f t="shared" si="1"/>
        <v>206.83333333333334</v>
      </c>
      <c r="J14" s="64">
        <v>657</v>
      </c>
      <c r="K14" s="71">
        <f t="shared" si="2"/>
        <v>2.8333333333333335</v>
      </c>
      <c r="L14" s="312">
        <v>657</v>
      </c>
      <c r="M14" s="286">
        <f>G14*Wirtschaftlichkeit!$G$5/Wirtschaftlichkeit!$G$7</f>
        <v>1</v>
      </c>
      <c r="N14" s="284">
        <f t="shared" si="3"/>
        <v>73</v>
      </c>
      <c r="P14" s="222">
        <v>657</v>
      </c>
      <c r="Q14" s="225">
        <f>IF($C14&gt;=Wirtschaftlichkeit!$H$8,Wirtschaftlichkeit!$H$8,IF(AND($C14&lt;=Wirtschaftlichkeit!$H$8,$C14&gt;=Wirtschaftlichkeit!$H$8*Eingabemaske!$B$18),$C14,"0"))</f>
        <v>5.5876288659793811</v>
      </c>
      <c r="R14" s="222">
        <v>657</v>
      </c>
      <c r="S14" s="224">
        <f t="shared" si="4"/>
        <v>407.89690721649481</v>
      </c>
      <c r="T14" s="222">
        <v>657</v>
      </c>
      <c r="U14" s="226">
        <f t="shared" si="5"/>
        <v>5.5876288659793811</v>
      </c>
      <c r="V14" s="312">
        <v>657</v>
      </c>
      <c r="W14" s="286">
        <f>Q14*Wirtschaftlichkeit!$H$5/Wirtschaftlichkeit!$H$7</f>
        <v>2</v>
      </c>
      <c r="X14" s="284">
        <f t="shared" si="6"/>
        <v>146</v>
      </c>
      <c r="Z14" s="222">
        <v>657</v>
      </c>
      <c r="AA14" s="225">
        <f>IF($C14&gt;=Wirtschaftlichkeit!$I$8,Wirtschaftlichkeit!$I$8,IF(AND($C14&lt;=Wirtschaftlichkeit!$I$8,$C14&gt;=Wirtschaftlichkeit!$I$8*Eingabemaske!$B$18),$C14,"0"))</f>
        <v>8.2471643149712612</v>
      </c>
      <c r="AB14" s="222">
        <v>657</v>
      </c>
      <c r="AC14" s="224">
        <f t="shared" si="7"/>
        <v>602.04299499290209</v>
      </c>
      <c r="AD14" s="222">
        <v>657</v>
      </c>
      <c r="AE14" s="226">
        <f t="shared" si="8"/>
        <v>8.2471643149712612</v>
      </c>
      <c r="AF14" s="312">
        <v>657</v>
      </c>
      <c r="AG14" s="286">
        <f>AA14*Wirtschaftlichkeit!$I$5/Wirtschaftlichkeit!$I$7</f>
        <v>3.0000000000000004</v>
      </c>
      <c r="AH14" s="284">
        <f t="shared" si="9"/>
        <v>219.00000000000003</v>
      </c>
      <c r="AJ14" s="222">
        <v>657</v>
      </c>
      <c r="AK14" s="225">
        <f>IF($C14&gt;=Wirtschaftlichkeit!$J$8,Wirtschaftlichkeit!$J$8,IF(AND($C14&lt;=Wirtschaftlichkeit!$J$8,$C14&gt;=Wirtschaftlichkeit!$J$8*Eingabemaske!$B$18),$C14,"0"))</f>
        <v>10.537455322965799</v>
      </c>
      <c r="AL14" s="222">
        <v>657</v>
      </c>
      <c r="AM14" s="224">
        <f t="shared" si="10"/>
        <v>769.23423857650334</v>
      </c>
      <c r="AN14" s="222">
        <v>657</v>
      </c>
      <c r="AO14" s="226">
        <f t="shared" si="11"/>
        <v>10.537455322965799</v>
      </c>
      <c r="AP14" s="312">
        <v>657</v>
      </c>
      <c r="AQ14" s="286">
        <f>AK14*Wirtschaftlichkeit!$J$5/Wirtschaftlichkeit!$J$7</f>
        <v>4</v>
      </c>
      <c r="AR14" s="284">
        <f t="shared" si="12"/>
        <v>292</v>
      </c>
      <c r="AT14" s="222">
        <v>657</v>
      </c>
      <c r="AU14" s="225">
        <f>IF($C14&gt;=Wirtschaftlichkeit!$K$8,Wirtschaftlichkeit!$K$8,IF(AND($C14&lt;=Wirtschaftlichkeit!$K$8,$C14&gt;=Wirtschaftlichkeit!$K$8*Eingabemaske!$B$18),$C14,"0"))</f>
        <v>12.739122166763016</v>
      </c>
      <c r="AV14" s="222">
        <v>657</v>
      </c>
      <c r="AW14" s="224">
        <f t="shared" si="13"/>
        <v>929.95591817370018</v>
      </c>
      <c r="AX14" s="222">
        <v>657</v>
      </c>
      <c r="AY14" s="226">
        <f t="shared" si="14"/>
        <v>12.739122166763016</v>
      </c>
      <c r="AZ14" s="312">
        <v>657</v>
      </c>
      <c r="BA14" s="286">
        <f>AU14*Wirtschaftlichkeit!$K$5/Wirtschaftlichkeit!$K$7</f>
        <v>5</v>
      </c>
      <c r="BB14" s="284">
        <f t="shared" si="15"/>
        <v>365</v>
      </c>
      <c r="BD14" s="222">
        <v>657</v>
      </c>
      <c r="BE14" s="225">
        <f>IF($C14&gt;=Wirtschaftlichkeit!$L$8,Wirtschaftlichkeit!$L$8,IF(AND($C14&lt;=Wirtschaftlichkeit!$L$8,$C14&gt;=Wirtschaftlichkeit!$L$8*Eingabemaske!$B$18),$C14,"0"))</f>
        <v>14.87189090675227</v>
      </c>
      <c r="BF14" s="222">
        <v>657</v>
      </c>
      <c r="BG14" s="224">
        <f t="shared" si="16"/>
        <v>1085.6480361929157</v>
      </c>
      <c r="BH14" s="222">
        <v>657</v>
      </c>
      <c r="BI14" s="226">
        <f t="shared" si="17"/>
        <v>14.87189090675227</v>
      </c>
      <c r="BJ14" s="312">
        <v>657</v>
      </c>
      <c r="BK14" s="286">
        <f>BE14*Wirtschaftlichkeit!$L$5/Wirtschaftlichkeit!$L$7</f>
        <v>6</v>
      </c>
      <c r="BL14" s="284">
        <f t="shared" si="18"/>
        <v>438</v>
      </c>
      <c r="BN14" s="222">
        <v>657</v>
      </c>
      <c r="BO14" s="225">
        <f>IF($C14&gt;=Wirtschaftlichkeit!$M$8,Wirtschaftlichkeit!$M$8,IF(AND($C14&lt;=Wirtschaftlichkeit!$M$8,$C14&gt;=Wirtschaftlichkeit!$M$8*Eingabemaske!$B$18),$C14,"0"))</f>
        <v>16.948500863015312</v>
      </c>
      <c r="BP14" s="222">
        <v>657</v>
      </c>
      <c r="BQ14" s="224">
        <f t="shared" si="19"/>
        <v>1237.2405630001178</v>
      </c>
      <c r="BR14" s="222">
        <v>657</v>
      </c>
      <c r="BS14" s="226">
        <f t="shared" si="20"/>
        <v>16.948500863015312</v>
      </c>
      <c r="BT14" s="312">
        <v>657</v>
      </c>
      <c r="BU14" s="286">
        <f>BO14*Wirtschaftlichkeit!$M$5/Wirtschaftlichkeit!$M$7</f>
        <v>7</v>
      </c>
      <c r="BV14" s="284">
        <f t="shared" si="21"/>
        <v>511</v>
      </c>
      <c r="BX14" s="222">
        <v>657</v>
      </c>
      <c r="BY14" s="225">
        <f>IF($C14&gt;=Wirtschaftlichkeit!$N$8,Wirtschaftlichkeit!$N$8,IF(AND($C14&lt;=Wirtschaftlichkeit!$N$8,$C14&gt;=Wirtschaftlichkeit!$N$8*Eingabemaske!$B$18),$C14,"0"))</f>
        <v>18.977838419132468</v>
      </c>
      <c r="BZ14" s="222">
        <v>657</v>
      </c>
      <c r="CA14" s="224">
        <f t="shared" si="22"/>
        <v>1385.3822045966701</v>
      </c>
      <c r="CB14" s="222">
        <v>657</v>
      </c>
      <c r="CC14" s="226">
        <f t="shared" si="23"/>
        <v>18.977838419132468</v>
      </c>
      <c r="CD14" s="312">
        <v>657</v>
      </c>
      <c r="CE14" s="286">
        <f>BY14*Wirtschaftlichkeit!$N$5/Wirtschaftlichkeit!$N$7</f>
        <v>8</v>
      </c>
      <c r="CF14" s="284">
        <f t="shared" si="24"/>
        <v>584</v>
      </c>
      <c r="CH14" s="222">
        <v>657</v>
      </c>
      <c r="CI14" s="225">
        <f>IF($C14&gt;=Wirtschaftlichkeit!$O$8,Wirtschaftlichkeit!$O$8,IF(AND($C14&lt;=Wirtschaftlichkeit!$O$8,$C14&gt;=Wirtschaftlichkeit!$O$8*Eingabemaske!$B$18),$C14,"0"))</f>
        <v>20.966443256074175</v>
      </c>
      <c r="CJ14" s="222">
        <v>657</v>
      </c>
      <c r="CK14" s="224">
        <f t="shared" si="25"/>
        <v>1530.5503576934148</v>
      </c>
      <c r="CL14" s="222">
        <v>657</v>
      </c>
      <c r="CM14" s="226">
        <f t="shared" si="26"/>
        <v>20.966443256074175</v>
      </c>
      <c r="CN14" s="312">
        <v>657</v>
      </c>
      <c r="CO14" s="286">
        <f>CI14*Wirtschaftlichkeit!$O$5/Wirtschaftlichkeit!$O$7</f>
        <v>9</v>
      </c>
      <c r="CP14" s="284">
        <f t="shared" si="27"/>
        <v>657</v>
      </c>
      <c r="CR14" s="222">
        <v>657</v>
      </c>
      <c r="CS14" s="225">
        <f>IF($C14&gt;=Wirtschaftlichkeit!$P$8,Wirtschaftlichkeit!$P$8,IF(AND($C14&lt;=Wirtschaftlichkeit!$P$8,$C14&gt;=Wirtschaftlichkeit!$P$8*Eingabemaske!$B$18),$C14,"0"))</f>
        <v>21.447270000000003</v>
      </c>
      <c r="CT14" s="222">
        <v>657</v>
      </c>
      <c r="CU14" s="224">
        <f t="shared" si="28"/>
        <v>1560.2863050000001</v>
      </c>
      <c r="CV14" s="222">
        <v>657</v>
      </c>
      <c r="CW14" s="226">
        <f t="shared" si="29"/>
        <v>21.447270000000003</v>
      </c>
      <c r="CX14" s="312">
        <v>657</v>
      </c>
      <c r="CY14" s="286">
        <f>CS14*Wirtschaftlichkeit!$P$5/Wirtschaftlichkeit!$P$7</f>
        <v>9.3577244934640973</v>
      </c>
      <c r="CZ14" s="284">
        <f t="shared" si="30"/>
        <v>680.77332793941105</v>
      </c>
      <c r="DB14" s="222">
        <v>657</v>
      </c>
      <c r="DC14" s="225">
        <f>IF($C14&gt;=Wirtschaftlichkeit!$Q$8,Wirtschaftlichkeit!$Q$8,IF(AND($C14&lt;=Wirtschaftlichkeit!$Q$8,$C14&gt;=Wirtschaftlichkeit!$Q$8*Eingabemaske!$B$18),$C14,"0"))</f>
        <v>21.447270000000003</v>
      </c>
      <c r="DD14" s="222">
        <v>657</v>
      </c>
      <c r="DE14" s="224">
        <f t="shared" si="31"/>
        <v>1560.2863050000001</v>
      </c>
      <c r="DF14" s="222">
        <v>657</v>
      </c>
      <c r="DG14" s="226">
        <f t="shared" si="32"/>
        <v>21.447270000000003</v>
      </c>
      <c r="DH14" s="312">
        <v>657</v>
      </c>
      <c r="DI14" s="286">
        <f>DC14*Wirtschaftlichkeit!$Q$5/Wirtschaftlichkeit!$Q$7</f>
        <v>9.8200484306224691</v>
      </c>
      <c r="DJ14" s="284">
        <f t="shared" si="33"/>
        <v>714.40733859073805</v>
      </c>
      <c r="DL14" s="222">
        <v>657</v>
      </c>
      <c r="DM14" s="225">
        <f>IF($C14&gt;=Wirtschaftlichkeit!$R$8,Wirtschaftlichkeit!$R$8,IF(AND($C14&lt;=Wirtschaftlichkeit!$R$8,$C14&gt;=Wirtschaftlichkeit!$R$8*Eingabemaske!$B$18),$C14,"0"))</f>
        <v>21.447270000000003</v>
      </c>
      <c r="DN14" s="222">
        <v>657</v>
      </c>
      <c r="DO14" s="224">
        <f t="shared" si="34"/>
        <v>1560.2863050000001</v>
      </c>
      <c r="DP14" s="222">
        <v>657</v>
      </c>
      <c r="DQ14" s="226">
        <f t="shared" si="35"/>
        <v>21.447270000000003</v>
      </c>
      <c r="DR14" s="312">
        <v>657</v>
      </c>
      <c r="DS14" s="286">
        <f>DM14*Wirtschaftlichkeit!$R$5/Wirtschaftlichkeit!$R$7</f>
        <v>9.9497175852458781</v>
      </c>
      <c r="DT14" s="284">
        <f t="shared" si="36"/>
        <v>723.84075394569152</v>
      </c>
      <c r="DV14" s="222">
        <v>657</v>
      </c>
      <c r="DW14" s="225">
        <f>IF($C14&gt;=Wirtschaftlichkeit!$S$8,Wirtschaftlichkeit!$S$8,IF(AND($C14&lt;=Wirtschaftlichkeit!$S$8,$C14&gt;=Wirtschaftlichkeit!$S$8*Eingabemaske!$B$18),$C14,"0"))</f>
        <v>21.447270000000003</v>
      </c>
      <c r="DX14" s="222">
        <v>657</v>
      </c>
      <c r="DY14" s="224">
        <f t="shared" si="37"/>
        <v>1560.2863050000001</v>
      </c>
      <c r="DZ14" s="222">
        <v>657</v>
      </c>
      <c r="EA14" s="226">
        <f t="shared" si="38"/>
        <v>21.447270000000003</v>
      </c>
      <c r="EB14" s="312">
        <v>657</v>
      </c>
      <c r="EC14" s="286">
        <f>DW14*Wirtschaftlichkeit!$S$5/Wirtschaftlichkeit!$S$7</f>
        <v>10.070999915661034</v>
      </c>
      <c r="ED14" s="284">
        <f t="shared" si="39"/>
        <v>732.66402885132072</v>
      </c>
      <c r="EF14" s="222">
        <v>657</v>
      </c>
      <c r="EG14" s="225">
        <f>IF($C14&gt;=Wirtschaftlichkeit!$T$8,Wirtschaftlichkeit!$T$8,IF(AND($C14&lt;=Wirtschaftlichkeit!$T$8,$C14&gt;=Wirtschaftlichkeit!$T$8*Eingabemaske!$B$18),$C14,"0"))</f>
        <v>21.447270000000003</v>
      </c>
      <c r="EH14" s="222">
        <v>657</v>
      </c>
      <c r="EI14" s="224">
        <f t="shared" si="40"/>
        <v>1560.2863050000001</v>
      </c>
      <c r="EJ14" s="222">
        <v>657</v>
      </c>
      <c r="EK14" s="226">
        <f t="shared" si="41"/>
        <v>21.447270000000003</v>
      </c>
      <c r="EL14" s="312">
        <v>657</v>
      </c>
      <c r="EM14" s="286">
        <f>EG14*Wirtschaftlichkeit!$T$5/Wirtschaftlichkeit!$T$7</f>
        <v>10.185034825964506</v>
      </c>
      <c r="EN14" s="284">
        <f t="shared" si="42"/>
        <v>740.96005481818793</v>
      </c>
      <c r="EP14" s="222">
        <v>657</v>
      </c>
      <c r="EQ14" s="225">
        <f>IF($C14&gt;=Wirtschaftlichkeit!$U$8,Wirtschaftlichkeit!$U$8,IF(AND($C14&lt;=Wirtschaftlichkeit!$U$8,$C14&gt;=Wirtschaftlichkeit!$U$8*Eingabemaske!$B$18),$C14,"0"))</f>
        <v>21.447270000000003</v>
      </c>
      <c r="ER14" s="222">
        <v>657</v>
      </c>
      <c r="ES14" s="224">
        <f t="shared" si="43"/>
        <v>1560.2863050000001</v>
      </c>
      <c r="ET14" s="222">
        <v>657</v>
      </c>
      <c r="EU14" s="226">
        <f t="shared" si="44"/>
        <v>21.447270000000003</v>
      </c>
      <c r="EV14" s="312">
        <v>657</v>
      </c>
      <c r="EW14" s="286">
        <f>EQ14*Wirtschaftlichkeit!$U$5/Wirtschaftlichkeit!$U$7</f>
        <v>10.292737991658734</v>
      </c>
      <c r="EX14" s="284">
        <f t="shared" si="45"/>
        <v>748.79544712862412</v>
      </c>
      <c r="EZ14" s="222">
        <v>657</v>
      </c>
      <c r="FA14" s="225">
        <f>IF($C14&gt;=Wirtschaftlichkeit!$V$8,Wirtschaftlichkeit!$V$8,IF(AND($C14&lt;=Wirtschaftlichkeit!$V$8,$C14&gt;=Wirtschaftlichkeit!$V$8*Eingabemaske!$B$18),$C14,"0"))</f>
        <v>21.447270000000003</v>
      </c>
      <c r="FB14" s="222">
        <v>657</v>
      </c>
      <c r="FC14" s="224">
        <f t="shared" si="46"/>
        <v>1560.2863050000001</v>
      </c>
      <c r="FD14" s="222">
        <v>657</v>
      </c>
      <c r="FE14" s="226">
        <f t="shared" si="47"/>
        <v>21.447270000000003</v>
      </c>
      <c r="FF14" s="312">
        <v>657</v>
      </c>
      <c r="FG14" s="286">
        <f>FA14*Wirtschaftlichkeit!$V$5/Wirtschaftlichkeit!$V$7</f>
        <v>10.394857040483107</v>
      </c>
      <c r="FH14" s="284">
        <f t="shared" si="48"/>
        <v>756.22459561047265</v>
      </c>
      <c r="FJ14" s="222">
        <v>657</v>
      </c>
      <c r="FK14" s="225">
        <f>IF($C14&gt;=Wirtschaftlichkeit!$W$8,Wirtschaftlichkeit!$W$8,IF(AND($C14&lt;=Wirtschaftlichkeit!$W$8,$C14&gt;=Wirtschaftlichkeit!$W$8*Eingabemaske!$B$18),$C14,"0"))</f>
        <v>21.447270000000003</v>
      </c>
      <c r="FL14" s="222">
        <v>657</v>
      </c>
      <c r="FM14" s="224">
        <f t="shared" si="49"/>
        <v>1560.2863050000001</v>
      </c>
      <c r="FN14" s="222">
        <v>657</v>
      </c>
      <c r="FO14" s="226">
        <f t="shared" si="50"/>
        <v>21.447270000000003</v>
      </c>
      <c r="FP14" s="312">
        <v>657</v>
      </c>
      <c r="FQ14" s="286">
        <f>FK14*Wirtschaftlichkeit!$W$5/Wirtschaftlichkeit!$W$7</f>
        <v>10.492010810018328</v>
      </c>
      <c r="FR14" s="284">
        <f t="shared" si="51"/>
        <v>763.29252062307012</v>
      </c>
      <c r="FT14" s="222">
        <v>657</v>
      </c>
      <c r="FU14" s="225">
        <f>IF($C14&gt;=Wirtschaftlichkeit!$X$8,Wirtschaftlichkeit!$X$8,IF(AND($C14&lt;=Wirtschaftlichkeit!$X$8,$C14&gt;=Wirtschaftlichkeit!$X$8*Eingabemaske!$B$18),$C14,"0"))</f>
        <v>21.447270000000003</v>
      </c>
      <c r="FV14" s="222">
        <v>657</v>
      </c>
      <c r="FW14" s="224">
        <f t="shared" si="52"/>
        <v>1560.2863050000001</v>
      </c>
      <c r="FX14" s="222">
        <v>657</v>
      </c>
      <c r="FY14" s="226">
        <f t="shared" si="53"/>
        <v>21.447270000000003</v>
      </c>
      <c r="FZ14" s="312">
        <v>657</v>
      </c>
      <c r="GA14" s="286">
        <f>FU14*Wirtschaftlichkeit!$X$5/Wirtschaftlichkeit!$X$7</f>
        <v>10.584717695605608</v>
      </c>
      <c r="GB14" s="284">
        <f t="shared" si="54"/>
        <v>770.03693536494802</v>
      </c>
      <c r="GD14" s="222">
        <v>657</v>
      </c>
      <c r="GE14" s="225">
        <f>IF($C14&gt;=Wirtschaftlichkeit!$Y$8,Wirtschaftlichkeit!$Y$8,IF(AND($C14&lt;=Wirtschaftlichkeit!$Y$8,$C14&gt;=Wirtschaftlichkeit!$Y$8*Eingabemaske!$B$18),$C14,"0"))</f>
        <v>21.447270000000003</v>
      </c>
      <c r="GF14" s="222">
        <v>657</v>
      </c>
      <c r="GG14" s="224">
        <f t="shared" si="55"/>
        <v>1560.2863050000001</v>
      </c>
      <c r="GH14" s="222">
        <v>657</v>
      </c>
      <c r="GI14" s="226">
        <f t="shared" si="56"/>
        <v>21.447270000000003</v>
      </c>
      <c r="GJ14" s="312">
        <v>657</v>
      </c>
      <c r="GK14" s="286">
        <f>GE14*Wirtschaftlichkeit!$Y$5/Wirtschaftlichkeit!$Y$7</f>
        <v>10.673416550867842</v>
      </c>
      <c r="GL14" s="284">
        <f t="shared" si="57"/>
        <v>776.48976638422653</v>
      </c>
      <c r="GN14" s="222">
        <v>657</v>
      </c>
      <c r="GO14" s="225">
        <f>IF($C14&gt;=Wirtschaftlichkeit!$Z$8,Wirtschaftlichkeit!$Z$8,IF(AND($C14&lt;=Wirtschaftlichkeit!$Z$8,$C14&gt;=Wirtschaftlichkeit!$Z$8*Eingabemaske!$B$18),$C14,"0"))</f>
        <v>21.447270000000003</v>
      </c>
      <c r="GP14" s="222">
        <v>657</v>
      </c>
      <c r="GQ14" s="224">
        <f t="shared" si="58"/>
        <v>1560.2863050000001</v>
      </c>
      <c r="GR14" s="222">
        <v>657</v>
      </c>
      <c r="GS14" s="226">
        <f t="shared" si="59"/>
        <v>21.447270000000003</v>
      </c>
      <c r="GT14" s="312">
        <v>657</v>
      </c>
      <c r="GU14" s="286">
        <f>GO14*Wirtschaftlichkeit!$Z$5/Wirtschaftlichkeit!$Z$7</f>
        <v>10.758482381827859</v>
      </c>
      <c r="GV14" s="284">
        <f t="shared" si="60"/>
        <v>782.67829532382382</v>
      </c>
      <c r="GW14" s="266"/>
      <c r="GX14" s="258">
        <v>657</v>
      </c>
      <c r="GY14" s="270">
        <f>IF(Berechnung_Diagramme!$C$28=Berechnungen_Lastgang!$F$2,Berechnungen_Lastgang!G14,IF(Berechnung_Diagramme!$C$28=Berechnungen_Lastgang!$P$2,Berechnungen_Lastgang!Q14,IF(Berechnung_Diagramme!$C$28=Berechnungen_Lastgang!$Z$2,Berechnungen_Lastgang!AA14,IF(Berechnung_Diagramme!$C$28=Berechnungen_Lastgang!$AJ$2,Berechnungen_Lastgang!AK14,IF(Berechnung_Diagramme!$C$28=Berechnungen_Lastgang!$AT$2,Berechnungen_Lastgang!AU14,IF(Berechnung_Diagramme!$C$28=Berechnungen_Lastgang!$BD$2,Berechnungen_Lastgang!BE14,IF(Berechnung_Diagramme!$C$28=Berechnungen_Lastgang!$BN$2,Berechnungen_Lastgang!BO14,IF(Berechnung_Diagramme!$C$28=Berechnungen_Lastgang!$BX$2,Berechnungen_Lastgang!BY14,IF(Berechnung_Diagramme!$C$28=Berechnungen_Lastgang!$CH$2,Berechnungen_Lastgang!CI14,IF(Berechnung_Diagramme!$C$28=Berechnungen_Lastgang!$CR$2,Berechnungen_Lastgang!CS14,IF(Berechnung_Diagramme!$C$28=Berechnungen_Lastgang!$DB$2,Berechnungen_Lastgang!DC14,IF(Berechnung_Diagramme!$C$28=Berechnungen_Lastgang!$DL$2,Berechnungen_Lastgang!DM14,IF(Berechnung_Diagramme!$C$28=Berechnungen_Lastgang!$DV$2,Berechnungen_Lastgang!DW14,IF(Berechnung_Diagramme!$C$28=Berechnungen_Lastgang!$EF$2,Berechnungen_Lastgang!EG14,IF(Berechnung_Diagramme!$C$28=Berechnungen_Lastgang!$EP$2,Berechnungen_Lastgang!EQ14,IF(Berechnung_Diagramme!$C$28=Berechnungen_Lastgang!$EZ$2,Berechnungen_Lastgang!FA14,IF(Berechnung_Diagramme!$C$28=Berechnungen_Lastgang!$FJ$2,Berechnungen_Lastgang!FK14,IF(Berechnung_Diagramme!$C$28=Berechnungen_Lastgang!$FT$2,Berechnungen_Lastgang!FU14,IF(Berechnung_Diagramme!$C$28=Berechnungen_Lastgang!$GD$2,Berechnungen_Lastgang!GE14,IF(Berechnung_Diagramme!$C$28=Berechnungen_Lastgang!$GN$2,Berechnungen_Lastgang!GO14,""))))))))))))))))))))</f>
        <v>20.966443256074175</v>
      </c>
    </row>
    <row r="15" spans="2:208" ht="14.45" x14ac:dyDescent="0.3">
      <c r="B15" s="64">
        <v>730</v>
      </c>
      <c r="C15" s="67">
        <f>LARGE(Berechnung_Diagramme!$AB$5:$AB$16,2)</f>
        <v>21.3003</v>
      </c>
      <c r="D15" s="66">
        <f t="shared" si="0"/>
        <v>1554.0907949999998</v>
      </c>
      <c r="F15" s="64">
        <v>730</v>
      </c>
      <c r="G15" s="225">
        <f>IF($C15&gt;=Wirtschaftlichkeit!$G$8,Wirtschaftlichkeit!$G$8,IF(AND($C15&lt;=Wirtschaftlichkeit!$G$8,$C15&gt;=Wirtschaftlichkeit!$G$8*Eingabemaske!$B$18),$C15,"0"))</f>
        <v>2.8333333333333335</v>
      </c>
      <c r="H15" s="64">
        <v>730</v>
      </c>
      <c r="I15" s="66">
        <f t="shared" si="1"/>
        <v>206.83333333333334</v>
      </c>
      <c r="J15" s="64">
        <v>730</v>
      </c>
      <c r="K15" s="71">
        <f t="shared" si="2"/>
        <v>2.8333333333333335</v>
      </c>
      <c r="L15" s="312">
        <v>730</v>
      </c>
      <c r="M15" s="286">
        <f>G15*Wirtschaftlichkeit!$G$5/Wirtschaftlichkeit!$G$7</f>
        <v>1</v>
      </c>
      <c r="N15" s="284">
        <f t="shared" si="3"/>
        <v>73</v>
      </c>
      <c r="P15" s="222">
        <v>730</v>
      </c>
      <c r="Q15" s="225">
        <f>IF($C15&gt;=Wirtschaftlichkeit!$H$8,Wirtschaftlichkeit!$H$8,IF(AND($C15&lt;=Wirtschaftlichkeit!$H$8,$C15&gt;=Wirtschaftlichkeit!$H$8*Eingabemaske!$B$18),$C15,"0"))</f>
        <v>5.5876288659793811</v>
      </c>
      <c r="R15" s="222">
        <v>730</v>
      </c>
      <c r="S15" s="224">
        <f t="shared" si="4"/>
        <v>407.89690721649481</v>
      </c>
      <c r="T15" s="222">
        <v>730</v>
      </c>
      <c r="U15" s="226">
        <f t="shared" si="5"/>
        <v>5.5876288659793811</v>
      </c>
      <c r="V15" s="312">
        <v>730</v>
      </c>
      <c r="W15" s="286">
        <f>Q15*Wirtschaftlichkeit!$H$5/Wirtschaftlichkeit!$H$7</f>
        <v>2</v>
      </c>
      <c r="X15" s="284">
        <f t="shared" si="6"/>
        <v>146</v>
      </c>
      <c r="Z15" s="222">
        <v>730</v>
      </c>
      <c r="AA15" s="225">
        <f>IF($C15&gt;=Wirtschaftlichkeit!$I$8,Wirtschaftlichkeit!$I$8,IF(AND($C15&lt;=Wirtschaftlichkeit!$I$8,$C15&gt;=Wirtschaftlichkeit!$I$8*Eingabemaske!$B$18),$C15,"0"))</f>
        <v>8.2471643149712612</v>
      </c>
      <c r="AB15" s="222">
        <v>730</v>
      </c>
      <c r="AC15" s="224">
        <f t="shared" si="7"/>
        <v>602.04299499290209</v>
      </c>
      <c r="AD15" s="222">
        <v>730</v>
      </c>
      <c r="AE15" s="226">
        <f t="shared" si="8"/>
        <v>8.2471643149712612</v>
      </c>
      <c r="AF15" s="312">
        <v>730</v>
      </c>
      <c r="AG15" s="286">
        <f>AA15*Wirtschaftlichkeit!$I$5/Wirtschaftlichkeit!$I$7</f>
        <v>3.0000000000000004</v>
      </c>
      <c r="AH15" s="284">
        <f t="shared" si="9"/>
        <v>219.00000000000003</v>
      </c>
      <c r="AJ15" s="222">
        <v>730</v>
      </c>
      <c r="AK15" s="225">
        <f>IF($C15&gt;=Wirtschaftlichkeit!$J$8,Wirtschaftlichkeit!$J$8,IF(AND($C15&lt;=Wirtschaftlichkeit!$J$8,$C15&gt;=Wirtschaftlichkeit!$J$8*Eingabemaske!$B$18),$C15,"0"))</f>
        <v>10.537455322965799</v>
      </c>
      <c r="AL15" s="222">
        <v>730</v>
      </c>
      <c r="AM15" s="224">
        <f t="shared" si="10"/>
        <v>769.23423857650334</v>
      </c>
      <c r="AN15" s="222">
        <v>730</v>
      </c>
      <c r="AO15" s="226">
        <f t="shared" si="11"/>
        <v>10.537455322965799</v>
      </c>
      <c r="AP15" s="312">
        <v>730</v>
      </c>
      <c r="AQ15" s="286">
        <f>AK15*Wirtschaftlichkeit!$J$5/Wirtschaftlichkeit!$J$7</f>
        <v>4</v>
      </c>
      <c r="AR15" s="284">
        <f t="shared" si="12"/>
        <v>292</v>
      </c>
      <c r="AT15" s="222">
        <v>730</v>
      </c>
      <c r="AU15" s="225">
        <f>IF($C15&gt;=Wirtschaftlichkeit!$K$8,Wirtschaftlichkeit!$K$8,IF(AND($C15&lt;=Wirtschaftlichkeit!$K$8,$C15&gt;=Wirtschaftlichkeit!$K$8*Eingabemaske!$B$18),$C15,"0"))</f>
        <v>12.739122166763016</v>
      </c>
      <c r="AV15" s="222">
        <v>730</v>
      </c>
      <c r="AW15" s="224">
        <f t="shared" si="13"/>
        <v>929.95591817370018</v>
      </c>
      <c r="AX15" s="222">
        <v>730</v>
      </c>
      <c r="AY15" s="226">
        <f t="shared" si="14"/>
        <v>12.739122166763016</v>
      </c>
      <c r="AZ15" s="312">
        <v>730</v>
      </c>
      <c r="BA15" s="286">
        <f>AU15*Wirtschaftlichkeit!$K$5/Wirtschaftlichkeit!$K$7</f>
        <v>5</v>
      </c>
      <c r="BB15" s="284">
        <f t="shared" si="15"/>
        <v>365</v>
      </c>
      <c r="BD15" s="222">
        <v>730</v>
      </c>
      <c r="BE15" s="225">
        <f>IF($C15&gt;=Wirtschaftlichkeit!$L$8,Wirtschaftlichkeit!$L$8,IF(AND($C15&lt;=Wirtschaftlichkeit!$L$8,$C15&gt;=Wirtschaftlichkeit!$L$8*Eingabemaske!$B$18),$C15,"0"))</f>
        <v>14.87189090675227</v>
      </c>
      <c r="BF15" s="222">
        <v>730</v>
      </c>
      <c r="BG15" s="224">
        <f t="shared" si="16"/>
        <v>1085.6480361929157</v>
      </c>
      <c r="BH15" s="222">
        <v>730</v>
      </c>
      <c r="BI15" s="226">
        <f t="shared" si="17"/>
        <v>14.87189090675227</v>
      </c>
      <c r="BJ15" s="312">
        <v>730</v>
      </c>
      <c r="BK15" s="286">
        <f>BE15*Wirtschaftlichkeit!$L$5/Wirtschaftlichkeit!$L$7</f>
        <v>6</v>
      </c>
      <c r="BL15" s="284">
        <f t="shared" si="18"/>
        <v>438</v>
      </c>
      <c r="BN15" s="222">
        <v>730</v>
      </c>
      <c r="BO15" s="225">
        <f>IF($C15&gt;=Wirtschaftlichkeit!$M$8,Wirtschaftlichkeit!$M$8,IF(AND($C15&lt;=Wirtschaftlichkeit!$M$8,$C15&gt;=Wirtschaftlichkeit!$M$8*Eingabemaske!$B$18),$C15,"0"))</f>
        <v>16.948500863015312</v>
      </c>
      <c r="BP15" s="222">
        <v>730</v>
      </c>
      <c r="BQ15" s="224">
        <f t="shared" si="19"/>
        <v>1237.2405630001178</v>
      </c>
      <c r="BR15" s="222">
        <v>730</v>
      </c>
      <c r="BS15" s="226">
        <f t="shared" si="20"/>
        <v>16.948500863015312</v>
      </c>
      <c r="BT15" s="312">
        <v>730</v>
      </c>
      <c r="BU15" s="286">
        <f>BO15*Wirtschaftlichkeit!$M$5/Wirtschaftlichkeit!$M$7</f>
        <v>7</v>
      </c>
      <c r="BV15" s="284">
        <f t="shared" si="21"/>
        <v>511</v>
      </c>
      <c r="BX15" s="222">
        <v>730</v>
      </c>
      <c r="BY15" s="225">
        <f>IF($C15&gt;=Wirtschaftlichkeit!$N$8,Wirtschaftlichkeit!$N$8,IF(AND($C15&lt;=Wirtschaftlichkeit!$N$8,$C15&gt;=Wirtschaftlichkeit!$N$8*Eingabemaske!$B$18),$C15,"0"))</f>
        <v>18.977838419132468</v>
      </c>
      <c r="BZ15" s="222">
        <v>730</v>
      </c>
      <c r="CA15" s="224">
        <f t="shared" si="22"/>
        <v>1385.3822045966701</v>
      </c>
      <c r="CB15" s="222">
        <v>730</v>
      </c>
      <c r="CC15" s="226">
        <f t="shared" si="23"/>
        <v>18.977838419132468</v>
      </c>
      <c r="CD15" s="312">
        <v>730</v>
      </c>
      <c r="CE15" s="286">
        <f>BY15*Wirtschaftlichkeit!$N$5/Wirtschaftlichkeit!$N$7</f>
        <v>8</v>
      </c>
      <c r="CF15" s="284">
        <f t="shared" si="24"/>
        <v>584</v>
      </c>
      <c r="CH15" s="222">
        <v>730</v>
      </c>
      <c r="CI15" s="225">
        <f>IF($C15&gt;=Wirtschaftlichkeit!$O$8,Wirtschaftlichkeit!$O$8,IF(AND($C15&lt;=Wirtschaftlichkeit!$O$8,$C15&gt;=Wirtschaftlichkeit!$O$8*Eingabemaske!$B$18),$C15,"0"))</f>
        <v>20.966443256074175</v>
      </c>
      <c r="CJ15" s="222">
        <v>730</v>
      </c>
      <c r="CK15" s="224">
        <f t="shared" si="25"/>
        <v>1530.5503576934148</v>
      </c>
      <c r="CL15" s="222">
        <v>730</v>
      </c>
      <c r="CM15" s="226">
        <f t="shared" si="26"/>
        <v>20.966443256074175</v>
      </c>
      <c r="CN15" s="312">
        <v>730</v>
      </c>
      <c r="CO15" s="286">
        <f>CI15*Wirtschaftlichkeit!$O$5/Wirtschaftlichkeit!$O$7</f>
        <v>9</v>
      </c>
      <c r="CP15" s="284">
        <f t="shared" si="27"/>
        <v>657</v>
      </c>
      <c r="CR15" s="222">
        <v>730</v>
      </c>
      <c r="CS15" s="225">
        <f>IF($C15&gt;=Wirtschaftlichkeit!$P$8,Wirtschaftlichkeit!$P$8,IF(AND($C15&lt;=Wirtschaftlichkeit!$P$8,$C15&gt;=Wirtschaftlichkeit!$P$8*Eingabemaske!$B$18),$C15,"0"))</f>
        <v>21.3003</v>
      </c>
      <c r="CT15" s="222">
        <v>730</v>
      </c>
      <c r="CU15" s="224">
        <f t="shared" si="28"/>
        <v>1554.0907949999998</v>
      </c>
      <c r="CV15" s="222">
        <v>730</v>
      </c>
      <c r="CW15" s="226">
        <f t="shared" si="29"/>
        <v>21.3003</v>
      </c>
      <c r="CX15" s="312">
        <v>730</v>
      </c>
      <c r="CY15" s="286">
        <f>CS15*Wirtschaftlichkeit!$P$5/Wirtschaftlichkeit!$P$7</f>
        <v>9.2935995596704508</v>
      </c>
      <c r="CZ15" s="284">
        <f t="shared" si="30"/>
        <v>678.07014587118022</v>
      </c>
      <c r="DB15" s="222">
        <v>730</v>
      </c>
      <c r="DC15" s="225">
        <f>IF($C15&gt;=Wirtschaftlichkeit!$Q$8,Wirtschaftlichkeit!$Q$8,IF(AND($C15&lt;=Wirtschaftlichkeit!$Q$8,$C15&gt;=Wirtschaftlichkeit!$Q$8*Eingabemaske!$B$18),$C15,"0"))</f>
        <v>21.3003</v>
      </c>
      <c r="DD15" s="222">
        <v>730</v>
      </c>
      <c r="DE15" s="224">
        <f t="shared" si="31"/>
        <v>1554.0907949999998</v>
      </c>
      <c r="DF15" s="222">
        <v>730</v>
      </c>
      <c r="DG15" s="226">
        <f t="shared" si="32"/>
        <v>21.3003</v>
      </c>
      <c r="DH15" s="312">
        <v>730</v>
      </c>
      <c r="DI15" s="286">
        <f>DC15*Wirtschaftlichkeit!$Q$5/Wirtschaftlichkeit!$Q$7</f>
        <v>9.7527553663840543</v>
      </c>
      <c r="DJ15" s="284">
        <f t="shared" si="33"/>
        <v>711.57060420671598</v>
      </c>
      <c r="DL15" s="222">
        <v>730</v>
      </c>
      <c r="DM15" s="225">
        <f>IF($C15&gt;=Wirtschaftlichkeit!$R$8,Wirtschaftlichkeit!$R$8,IF(AND($C15&lt;=Wirtschaftlichkeit!$R$8,$C15&gt;=Wirtschaftlichkeit!$R$8*Eingabemaske!$B$18),$C15,"0"))</f>
        <v>21.3003</v>
      </c>
      <c r="DN15" s="222">
        <v>730</v>
      </c>
      <c r="DO15" s="224">
        <f t="shared" si="34"/>
        <v>1554.0907949999998</v>
      </c>
      <c r="DP15" s="222">
        <v>730</v>
      </c>
      <c r="DQ15" s="226">
        <f t="shared" si="35"/>
        <v>21.3003</v>
      </c>
      <c r="DR15" s="312">
        <v>730</v>
      </c>
      <c r="DS15" s="286">
        <f>DM15*Wirtschaftlichkeit!$R$5/Wirtschaftlichkeit!$R$7</f>
        <v>9.8815359475127948</v>
      </c>
      <c r="DT15" s="284">
        <f t="shared" si="36"/>
        <v>720.96656180857724</v>
      </c>
      <c r="DV15" s="222">
        <v>730</v>
      </c>
      <c r="DW15" s="225">
        <f>IF($C15&gt;=Wirtschaftlichkeit!$S$8,Wirtschaftlichkeit!$S$8,IF(AND($C15&lt;=Wirtschaftlichkeit!$S$8,$C15&gt;=Wirtschaftlichkeit!$S$8*Eingabemaske!$B$18),$C15,"0"))</f>
        <v>21.3003</v>
      </c>
      <c r="DX15" s="222">
        <v>730</v>
      </c>
      <c r="DY15" s="224">
        <f t="shared" si="37"/>
        <v>1554.0907949999998</v>
      </c>
      <c r="DZ15" s="222">
        <v>730</v>
      </c>
      <c r="EA15" s="226">
        <f t="shared" si="38"/>
        <v>21.3003</v>
      </c>
      <c r="EB15" s="312">
        <v>730</v>
      </c>
      <c r="EC15" s="286">
        <f>DW15*Wirtschaftlichkeit!$S$5/Wirtschaftlichkeit!$S$7</f>
        <v>10.001987176155973</v>
      </c>
      <c r="ED15" s="284">
        <f t="shared" si="39"/>
        <v>729.75480167753688</v>
      </c>
      <c r="EF15" s="222">
        <v>730</v>
      </c>
      <c r="EG15" s="225">
        <f>IF($C15&gt;=Wirtschaftlichkeit!$T$8,Wirtschaftlichkeit!$T$8,IF(AND($C15&lt;=Wirtschaftlichkeit!$T$8,$C15&gt;=Wirtschaftlichkeit!$T$8*Eingabemaske!$B$18),$C15,"0"))</f>
        <v>21.3003</v>
      </c>
      <c r="EH15" s="222">
        <v>730</v>
      </c>
      <c r="EI15" s="224">
        <f t="shared" si="40"/>
        <v>1554.0907949999998</v>
      </c>
      <c r="EJ15" s="222">
        <v>730</v>
      </c>
      <c r="EK15" s="226">
        <f t="shared" si="41"/>
        <v>21.3003</v>
      </c>
      <c r="EL15" s="312">
        <v>730</v>
      </c>
      <c r="EM15" s="286">
        <f>EG15*Wirtschaftlichkeit!$T$5/Wirtschaftlichkeit!$T$7</f>
        <v>10.115240648506393</v>
      </c>
      <c r="EN15" s="284">
        <f t="shared" si="42"/>
        <v>738.01788618252408</v>
      </c>
      <c r="EP15" s="222">
        <v>730</v>
      </c>
      <c r="EQ15" s="225">
        <f>IF($C15&gt;=Wirtschaftlichkeit!$U$8,Wirtschaftlichkeit!$U$8,IF(AND($C15&lt;=Wirtschaftlichkeit!$U$8,$C15&gt;=Wirtschaftlichkeit!$U$8*Eingabemaske!$B$18),$C15,"0"))</f>
        <v>21.3003</v>
      </c>
      <c r="ER15" s="222">
        <v>730</v>
      </c>
      <c r="ES15" s="224">
        <f t="shared" si="43"/>
        <v>1554.0907949999998</v>
      </c>
      <c r="ET15" s="222">
        <v>730</v>
      </c>
      <c r="EU15" s="226">
        <f t="shared" si="44"/>
        <v>21.3003</v>
      </c>
      <c r="EV15" s="312">
        <v>730</v>
      </c>
      <c r="EW15" s="286">
        <f>EQ15*Wirtschaftlichkeit!$U$5/Wirtschaftlichkeit!$U$7</f>
        <v>10.222205765289873</v>
      </c>
      <c r="EX15" s="284">
        <f t="shared" si="45"/>
        <v>745.82216609310285</v>
      </c>
      <c r="EZ15" s="222">
        <v>730</v>
      </c>
      <c r="FA15" s="225">
        <f>IF($C15&gt;=Wirtschaftlichkeit!$V$8,Wirtschaftlichkeit!$V$8,IF(AND($C15&lt;=Wirtschaftlichkeit!$V$8,$C15&gt;=Wirtschaftlichkeit!$V$8*Eingabemaske!$B$18),$C15,"0"))</f>
        <v>21.3003</v>
      </c>
      <c r="FB15" s="222">
        <v>730</v>
      </c>
      <c r="FC15" s="224">
        <f t="shared" si="46"/>
        <v>1554.0907949999998</v>
      </c>
      <c r="FD15" s="222">
        <v>730</v>
      </c>
      <c r="FE15" s="226">
        <f t="shared" si="47"/>
        <v>21.3003</v>
      </c>
      <c r="FF15" s="312">
        <v>730</v>
      </c>
      <c r="FG15" s="286">
        <f>FA15*Wirtschaftlichkeit!$V$5/Wirtschaftlichkeit!$V$7</f>
        <v>10.323625031036691</v>
      </c>
      <c r="FH15" s="284">
        <f t="shared" si="48"/>
        <v>753.22181526859765</v>
      </c>
      <c r="FJ15" s="222">
        <v>730</v>
      </c>
      <c r="FK15" s="225">
        <f>IF($C15&gt;=Wirtschaftlichkeit!$W$8,Wirtschaftlichkeit!$W$8,IF(AND($C15&lt;=Wirtschaftlichkeit!$W$8,$C15&gt;=Wirtschaftlichkeit!$W$8*Eingabemaske!$B$18),$C15,"0"))</f>
        <v>21.3003</v>
      </c>
      <c r="FL15" s="222">
        <v>730</v>
      </c>
      <c r="FM15" s="224">
        <f t="shared" si="49"/>
        <v>1554.0907949999998</v>
      </c>
      <c r="FN15" s="222">
        <v>730</v>
      </c>
      <c r="FO15" s="226">
        <f t="shared" si="50"/>
        <v>21.3003</v>
      </c>
      <c r="FP15" s="312">
        <v>730</v>
      </c>
      <c r="FQ15" s="286">
        <f>FK15*Wirtschaftlichkeit!$W$5/Wirtschaftlichkeit!$W$7</f>
        <v>10.420113042668525</v>
      </c>
      <c r="FR15" s="284">
        <f t="shared" si="51"/>
        <v>760.26167530366229</v>
      </c>
      <c r="FT15" s="222">
        <v>730</v>
      </c>
      <c r="FU15" s="225">
        <f>IF($C15&gt;=Wirtschaftlichkeit!$X$8,Wirtschaftlichkeit!$X$8,IF(AND($C15&lt;=Wirtschaftlichkeit!$X$8,$C15&gt;=Wirtschaftlichkeit!$X$8*Eingabemaske!$B$18),$C15,"0"))</f>
        <v>21.3003</v>
      </c>
      <c r="FV15" s="222">
        <v>730</v>
      </c>
      <c r="FW15" s="224">
        <f t="shared" si="52"/>
        <v>1554.0907949999998</v>
      </c>
      <c r="FX15" s="222">
        <v>730</v>
      </c>
      <c r="FY15" s="226">
        <f t="shared" si="53"/>
        <v>21.3003</v>
      </c>
      <c r="FZ15" s="312">
        <v>730</v>
      </c>
      <c r="GA15" s="286">
        <f>FU15*Wirtschaftlichkeit!$X$5/Wirtschaftlichkeit!$X$7</f>
        <v>10.51218464316009</v>
      </c>
      <c r="GB15" s="284">
        <f t="shared" si="54"/>
        <v>766.97930964706859</v>
      </c>
      <c r="GD15" s="222">
        <v>730</v>
      </c>
      <c r="GE15" s="225">
        <f>IF($C15&gt;=Wirtschaftlichkeit!$Y$8,Wirtschaftlichkeit!$Y$8,IF(AND($C15&lt;=Wirtschaftlichkeit!$Y$8,$C15&gt;=Wirtschaftlichkeit!$Y$8*Eingabemaske!$B$18),$C15,"0"))</f>
        <v>21.3003</v>
      </c>
      <c r="GF15" s="222">
        <v>730</v>
      </c>
      <c r="GG15" s="224">
        <f t="shared" si="55"/>
        <v>1554.0907949999998</v>
      </c>
      <c r="GH15" s="222">
        <v>730</v>
      </c>
      <c r="GI15" s="226">
        <f t="shared" si="56"/>
        <v>21.3003</v>
      </c>
      <c r="GJ15" s="312">
        <v>730</v>
      </c>
      <c r="GK15" s="286">
        <f>GE15*Wirtschaftlichkeit!$Y$5/Wirtschaftlichkeit!$Y$7</f>
        <v>10.600275678836992</v>
      </c>
      <c r="GL15" s="284">
        <f t="shared" si="57"/>
        <v>773.40651807453162</v>
      </c>
      <c r="GN15" s="222">
        <v>730</v>
      </c>
      <c r="GO15" s="225">
        <f>IF($C15&gt;=Wirtschaftlichkeit!$Z$8,Wirtschaftlichkeit!$Z$8,IF(AND($C15&lt;=Wirtschaftlichkeit!$Z$8,$C15&gt;=Wirtschaftlichkeit!$Z$8*Eingabemaske!$B$18),$C15,"0"))</f>
        <v>21.3003</v>
      </c>
      <c r="GP15" s="222">
        <v>730</v>
      </c>
      <c r="GQ15" s="224">
        <f t="shared" si="58"/>
        <v>1554.0907949999998</v>
      </c>
      <c r="GR15" s="222">
        <v>730</v>
      </c>
      <c r="GS15" s="226">
        <f t="shared" si="59"/>
        <v>21.3003</v>
      </c>
      <c r="GT15" s="312">
        <v>730</v>
      </c>
      <c r="GU15" s="286">
        <f>GO15*Wirtschaftlichkeit!$Z$5/Wirtschaftlichkeit!$Z$7</f>
        <v>10.684758585948137</v>
      </c>
      <c r="GV15" s="284">
        <f t="shared" si="60"/>
        <v>779.57047390033085</v>
      </c>
      <c r="GW15" s="266"/>
      <c r="GX15" s="258">
        <v>730</v>
      </c>
      <c r="GY15" s="270">
        <f>IF(Berechnung_Diagramme!$C$28=Berechnungen_Lastgang!$F$2,Berechnungen_Lastgang!G15,IF(Berechnung_Diagramme!$C$28=Berechnungen_Lastgang!$P$2,Berechnungen_Lastgang!Q15,IF(Berechnung_Diagramme!$C$28=Berechnungen_Lastgang!$Z$2,Berechnungen_Lastgang!AA15,IF(Berechnung_Diagramme!$C$28=Berechnungen_Lastgang!$AJ$2,Berechnungen_Lastgang!AK15,IF(Berechnung_Diagramme!$C$28=Berechnungen_Lastgang!$AT$2,Berechnungen_Lastgang!AU15,IF(Berechnung_Diagramme!$C$28=Berechnungen_Lastgang!$BD$2,Berechnungen_Lastgang!BE15,IF(Berechnung_Diagramme!$C$28=Berechnungen_Lastgang!$BN$2,Berechnungen_Lastgang!BO15,IF(Berechnung_Diagramme!$C$28=Berechnungen_Lastgang!$BX$2,Berechnungen_Lastgang!BY15,IF(Berechnung_Diagramme!$C$28=Berechnungen_Lastgang!$CH$2,Berechnungen_Lastgang!CI15,IF(Berechnung_Diagramme!$C$28=Berechnungen_Lastgang!$CR$2,Berechnungen_Lastgang!CS15,IF(Berechnung_Diagramme!$C$28=Berechnungen_Lastgang!$DB$2,Berechnungen_Lastgang!DC15,IF(Berechnung_Diagramme!$C$28=Berechnungen_Lastgang!$DL$2,Berechnungen_Lastgang!DM15,IF(Berechnung_Diagramme!$C$28=Berechnungen_Lastgang!$DV$2,Berechnungen_Lastgang!DW15,IF(Berechnung_Diagramme!$C$28=Berechnungen_Lastgang!$EF$2,Berechnungen_Lastgang!EG15,IF(Berechnung_Diagramme!$C$28=Berechnungen_Lastgang!$EP$2,Berechnungen_Lastgang!EQ15,IF(Berechnung_Diagramme!$C$28=Berechnungen_Lastgang!$EZ$2,Berechnungen_Lastgang!FA15,IF(Berechnung_Diagramme!$C$28=Berechnungen_Lastgang!$FJ$2,Berechnungen_Lastgang!FK15,IF(Berechnung_Diagramme!$C$28=Berechnungen_Lastgang!$FT$2,Berechnungen_Lastgang!FU15,IF(Berechnung_Diagramme!$C$28=Berechnungen_Lastgang!$GD$2,Berechnungen_Lastgang!GE15,IF(Berechnung_Diagramme!$C$28=Berechnungen_Lastgang!$GN$2,Berechnungen_Lastgang!GO15,""))))))))))))))))))))</f>
        <v>20.966443256074175</v>
      </c>
    </row>
    <row r="16" spans="2:208" ht="14.45" x14ac:dyDescent="0.3">
      <c r="B16" s="64">
        <v>803</v>
      </c>
      <c r="C16" s="67">
        <f>C15+((C20-C15)/(B20-B15))*(B16-B15)</f>
        <v>21.277529999999999</v>
      </c>
      <c r="D16" s="66">
        <f t="shared" si="0"/>
        <v>1552.4285849999999</v>
      </c>
      <c r="F16" s="64">
        <v>803</v>
      </c>
      <c r="G16" s="225">
        <f>IF($C16&gt;=Wirtschaftlichkeit!$G$8,Wirtschaftlichkeit!$G$8,IF(AND($C16&lt;=Wirtschaftlichkeit!$G$8,$C16&gt;=Wirtschaftlichkeit!$G$8*Eingabemaske!$B$18),$C16,"0"))</f>
        <v>2.8333333333333335</v>
      </c>
      <c r="H16" s="64">
        <v>803</v>
      </c>
      <c r="I16" s="66">
        <f t="shared" si="1"/>
        <v>206.83333333333334</v>
      </c>
      <c r="J16" s="64">
        <v>803</v>
      </c>
      <c r="K16" s="71">
        <f t="shared" si="2"/>
        <v>2.8333333333333335</v>
      </c>
      <c r="L16" s="312">
        <v>803</v>
      </c>
      <c r="M16" s="286">
        <f>G16*Wirtschaftlichkeit!$G$5/Wirtschaftlichkeit!$G$7</f>
        <v>1</v>
      </c>
      <c r="N16" s="284">
        <f t="shared" si="3"/>
        <v>73</v>
      </c>
      <c r="P16" s="222">
        <v>803</v>
      </c>
      <c r="Q16" s="225">
        <f>IF($C16&gt;=Wirtschaftlichkeit!$H$8,Wirtschaftlichkeit!$H$8,IF(AND($C16&lt;=Wirtschaftlichkeit!$H$8,$C16&gt;=Wirtschaftlichkeit!$H$8*Eingabemaske!$B$18),$C16,"0"))</f>
        <v>5.5876288659793811</v>
      </c>
      <c r="R16" s="222">
        <v>803</v>
      </c>
      <c r="S16" s="224">
        <f t="shared" si="4"/>
        <v>407.89690721649481</v>
      </c>
      <c r="T16" s="222">
        <v>803</v>
      </c>
      <c r="U16" s="226">
        <f t="shared" si="5"/>
        <v>5.5876288659793811</v>
      </c>
      <c r="V16" s="312">
        <v>803</v>
      </c>
      <c r="W16" s="286">
        <f>Q16*Wirtschaftlichkeit!$H$5/Wirtschaftlichkeit!$H$7</f>
        <v>2</v>
      </c>
      <c r="X16" s="284">
        <f t="shared" si="6"/>
        <v>146</v>
      </c>
      <c r="Z16" s="222">
        <v>803</v>
      </c>
      <c r="AA16" s="225">
        <f>IF($C16&gt;=Wirtschaftlichkeit!$I$8,Wirtschaftlichkeit!$I$8,IF(AND($C16&lt;=Wirtschaftlichkeit!$I$8,$C16&gt;=Wirtschaftlichkeit!$I$8*Eingabemaske!$B$18),$C16,"0"))</f>
        <v>8.2471643149712612</v>
      </c>
      <c r="AB16" s="222">
        <v>803</v>
      </c>
      <c r="AC16" s="224">
        <f t="shared" si="7"/>
        <v>602.04299499290209</v>
      </c>
      <c r="AD16" s="222">
        <v>803</v>
      </c>
      <c r="AE16" s="226">
        <f t="shared" si="8"/>
        <v>8.2471643149712612</v>
      </c>
      <c r="AF16" s="312">
        <v>803</v>
      </c>
      <c r="AG16" s="286">
        <f>AA16*Wirtschaftlichkeit!$I$5/Wirtschaftlichkeit!$I$7</f>
        <v>3.0000000000000004</v>
      </c>
      <c r="AH16" s="284">
        <f t="shared" si="9"/>
        <v>219.00000000000003</v>
      </c>
      <c r="AJ16" s="222">
        <v>803</v>
      </c>
      <c r="AK16" s="225">
        <f>IF($C16&gt;=Wirtschaftlichkeit!$J$8,Wirtschaftlichkeit!$J$8,IF(AND($C16&lt;=Wirtschaftlichkeit!$J$8,$C16&gt;=Wirtschaftlichkeit!$J$8*Eingabemaske!$B$18),$C16,"0"))</f>
        <v>10.537455322965799</v>
      </c>
      <c r="AL16" s="222">
        <v>803</v>
      </c>
      <c r="AM16" s="224">
        <f t="shared" si="10"/>
        <v>769.23423857650334</v>
      </c>
      <c r="AN16" s="222">
        <v>803</v>
      </c>
      <c r="AO16" s="226">
        <f t="shared" si="11"/>
        <v>10.537455322965799</v>
      </c>
      <c r="AP16" s="312">
        <v>803</v>
      </c>
      <c r="AQ16" s="286">
        <f>AK16*Wirtschaftlichkeit!$J$5/Wirtschaftlichkeit!$J$7</f>
        <v>4</v>
      </c>
      <c r="AR16" s="284">
        <f t="shared" si="12"/>
        <v>292</v>
      </c>
      <c r="AT16" s="222">
        <v>803</v>
      </c>
      <c r="AU16" s="225">
        <f>IF($C16&gt;=Wirtschaftlichkeit!$K$8,Wirtschaftlichkeit!$K$8,IF(AND($C16&lt;=Wirtschaftlichkeit!$K$8,$C16&gt;=Wirtschaftlichkeit!$K$8*Eingabemaske!$B$18),$C16,"0"))</f>
        <v>12.739122166763016</v>
      </c>
      <c r="AV16" s="222">
        <v>803</v>
      </c>
      <c r="AW16" s="224">
        <f t="shared" si="13"/>
        <v>929.95591817370018</v>
      </c>
      <c r="AX16" s="222">
        <v>803</v>
      </c>
      <c r="AY16" s="226">
        <f t="shared" si="14"/>
        <v>12.739122166763016</v>
      </c>
      <c r="AZ16" s="312">
        <v>803</v>
      </c>
      <c r="BA16" s="286">
        <f>AU16*Wirtschaftlichkeit!$K$5/Wirtschaftlichkeit!$K$7</f>
        <v>5</v>
      </c>
      <c r="BB16" s="284">
        <f t="shared" si="15"/>
        <v>365</v>
      </c>
      <c r="BD16" s="222">
        <v>803</v>
      </c>
      <c r="BE16" s="225">
        <f>IF($C16&gt;=Wirtschaftlichkeit!$L$8,Wirtschaftlichkeit!$L$8,IF(AND($C16&lt;=Wirtschaftlichkeit!$L$8,$C16&gt;=Wirtschaftlichkeit!$L$8*Eingabemaske!$B$18),$C16,"0"))</f>
        <v>14.87189090675227</v>
      </c>
      <c r="BF16" s="222">
        <v>803</v>
      </c>
      <c r="BG16" s="224">
        <f t="shared" si="16"/>
        <v>1085.6480361929157</v>
      </c>
      <c r="BH16" s="222">
        <v>803</v>
      </c>
      <c r="BI16" s="226">
        <f t="shared" si="17"/>
        <v>14.87189090675227</v>
      </c>
      <c r="BJ16" s="312">
        <v>803</v>
      </c>
      <c r="BK16" s="286">
        <f>BE16*Wirtschaftlichkeit!$L$5/Wirtschaftlichkeit!$L$7</f>
        <v>6</v>
      </c>
      <c r="BL16" s="284">
        <f t="shared" si="18"/>
        <v>438</v>
      </c>
      <c r="BN16" s="222">
        <v>803</v>
      </c>
      <c r="BO16" s="225">
        <f>IF($C16&gt;=Wirtschaftlichkeit!$M$8,Wirtschaftlichkeit!$M$8,IF(AND($C16&lt;=Wirtschaftlichkeit!$M$8,$C16&gt;=Wirtschaftlichkeit!$M$8*Eingabemaske!$B$18),$C16,"0"))</f>
        <v>16.948500863015312</v>
      </c>
      <c r="BP16" s="222">
        <v>803</v>
      </c>
      <c r="BQ16" s="224">
        <f t="shared" si="19"/>
        <v>1237.2405630001178</v>
      </c>
      <c r="BR16" s="222">
        <v>803</v>
      </c>
      <c r="BS16" s="226">
        <f t="shared" si="20"/>
        <v>16.948500863015312</v>
      </c>
      <c r="BT16" s="312">
        <v>803</v>
      </c>
      <c r="BU16" s="286">
        <f>BO16*Wirtschaftlichkeit!$M$5/Wirtschaftlichkeit!$M$7</f>
        <v>7</v>
      </c>
      <c r="BV16" s="284">
        <f t="shared" si="21"/>
        <v>511</v>
      </c>
      <c r="BX16" s="222">
        <v>803</v>
      </c>
      <c r="BY16" s="225">
        <f>IF($C16&gt;=Wirtschaftlichkeit!$N$8,Wirtschaftlichkeit!$N$8,IF(AND($C16&lt;=Wirtschaftlichkeit!$N$8,$C16&gt;=Wirtschaftlichkeit!$N$8*Eingabemaske!$B$18),$C16,"0"))</f>
        <v>18.977838419132468</v>
      </c>
      <c r="BZ16" s="222">
        <v>803</v>
      </c>
      <c r="CA16" s="224">
        <f t="shared" si="22"/>
        <v>1385.3822045966701</v>
      </c>
      <c r="CB16" s="222">
        <v>803</v>
      </c>
      <c r="CC16" s="226">
        <f t="shared" si="23"/>
        <v>18.977838419132468</v>
      </c>
      <c r="CD16" s="312">
        <v>803</v>
      </c>
      <c r="CE16" s="286">
        <f>BY16*Wirtschaftlichkeit!$N$5/Wirtschaftlichkeit!$N$7</f>
        <v>8</v>
      </c>
      <c r="CF16" s="284">
        <f t="shared" si="24"/>
        <v>584</v>
      </c>
      <c r="CH16" s="222">
        <v>803</v>
      </c>
      <c r="CI16" s="225">
        <f>IF($C16&gt;=Wirtschaftlichkeit!$O$8,Wirtschaftlichkeit!$O$8,IF(AND($C16&lt;=Wirtschaftlichkeit!$O$8,$C16&gt;=Wirtschaftlichkeit!$O$8*Eingabemaske!$B$18),$C16,"0"))</f>
        <v>20.966443256074175</v>
      </c>
      <c r="CJ16" s="222">
        <v>803</v>
      </c>
      <c r="CK16" s="224">
        <f t="shared" si="25"/>
        <v>1530.5503576934148</v>
      </c>
      <c r="CL16" s="222">
        <v>803</v>
      </c>
      <c r="CM16" s="226">
        <f t="shared" si="26"/>
        <v>20.966443256074175</v>
      </c>
      <c r="CN16" s="312">
        <v>803</v>
      </c>
      <c r="CO16" s="286">
        <f>CI16*Wirtschaftlichkeit!$O$5/Wirtschaftlichkeit!$O$7</f>
        <v>9</v>
      </c>
      <c r="CP16" s="284">
        <f t="shared" si="27"/>
        <v>657</v>
      </c>
      <c r="CR16" s="222">
        <v>803</v>
      </c>
      <c r="CS16" s="225">
        <f>IF($C16&gt;=Wirtschaftlichkeit!$P$8,Wirtschaftlichkeit!$P$8,IF(AND($C16&lt;=Wirtschaftlichkeit!$P$8,$C16&gt;=Wirtschaftlichkeit!$P$8*Eingabemaske!$B$18),$C16,"0"))</f>
        <v>21.277529999999999</v>
      </c>
      <c r="CT16" s="222">
        <v>803</v>
      </c>
      <c r="CU16" s="224">
        <f t="shared" si="28"/>
        <v>1552.4285849999999</v>
      </c>
      <c r="CV16" s="222">
        <v>803</v>
      </c>
      <c r="CW16" s="226">
        <f t="shared" si="29"/>
        <v>21.277529999999999</v>
      </c>
      <c r="CX16" s="312">
        <v>803</v>
      </c>
      <c r="CY16" s="286">
        <f>CS16*Wirtschaftlichkeit!$P$5/Wirtschaftlichkeit!$P$7</f>
        <v>9.2836647107728432</v>
      </c>
      <c r="CZ16" s="284">
        <f t="shared" si="30"/>
        <v>677.34490190165491</v>
      </c>
      <c r="DB16" s="222">
        <v>803</v>
      </c>
      <c r="DC16" s="225">
        <f>IF($C16&gt;=Wirtschaftlichkeit!$Q$8,Wirtschaftlichkeit!$Q$8,IF(AND($C16&lt;=Wirtschaftlichkeit!$Q$8,$C16&gt;=Wirtschaftlichkeit!$Q$8*Eingabemaske!$B$18),$C16,"0"))</f>
        <v>21.277529999999999</v>
      </c>
      <c r="DD16" s="222">
        <v>803</v>
      </c>
      <c r="DE16" s="224">
        <f t="shared" si="31"/>
        <v>1552.4285849999999</v>
      </c>
      <c r="DF16" s="222">
        <v>803</v>
      </c>
      <c r="DG16" s="226">
        <f t="shared" si="32"/>
        <v>21.277529999999999</v>
      </c>
      <c r="DH16" s="312">
        <v>803</v>
      </c>
      <c r="DI16" s="286">
        <f>DC16*Wirtschaftlichkeit!$Q$5/Wirtschaftlichkeit!$Q$7</f>
        <v>9.7423296803752866</v>
      </c>
      <c r="DJ16" s="284">
        <f t="shared" si="33"/>
        <v>710.80952912807584</v>
      </c>
      <c r="DL16" s="222">
        <v>803</v>
      </c>
      <c r="DM16" s="225">
        <f>IF($C16&gt;=Wirtschaftlichkeit!$R$8,Wirtschaftlichkeit!$R$8,IF(AND($C16&lt;=Wirtschaftlichkeit!$R$8,$C16&gt;=Wirtschaftlichkeit!$R$8*Eingabemaske!$B$18),$C16,"0"))</f>
        <v>21.277529999999999</v>
      </c>
      <c r="DN16" s="222">
        <v>803</v>
      </c>
      <c r="DO16" s="224">
        <f t="shared" si="34"/>
        <v>1552.4285849999999</v>
      </c>
      <c r="DP16" s="222">
        <v>803</v>
      </c>
      <c r="DQ16" s="226">
        <f t="shared" si="35"/>
        <v>21.277529999999999</v>
      </c>
      <c r="DR16" s="312">
        <v>803</v>
      </c>
      <c r="DS16" s="286">
        <f>DM16*Wirtschaftlichkeit!$R$5/Wirtschaftlichkeit!$R$7</f>
        <v>9.8709725951879488</v>
      </c>
      <c r="DT16" s="284">
        <f t="shared" si="36"/>
        <v>720.1954370888634</v>
      </c>
      <c r="DV16" s="222">
        <v>803</v>
      </c>
      <c r="DW16" s="225">
        <f>IF($C16&gt;=Wirtschaftlichkeit!$S$8,Wirtschaftlichkeit!$S$8,IF(AND($C16&lt;=Wirtschaftlichkeit!$S$8,$C16&gt;=Wirtschaftlichkeit!$S$8*Eingabemaske!$B$18),$C16,"0"))</f>
        <v>21.277529999999999</v>
      </c>
      <c r="DX16" s="222">
        <v>803</v>
      </c>
      <c r="DY16" s="224">
        <f t="shared" si="37"/>
        <v>1552.4285849999999</v>
      </c>
      <c r="DZ16" s="222">
        <v>803</v>
      </c>
      <c r="EA16" s="226">
        <f t="shared" si="38"/>
        <v>21.277529999999999</v>
      </c>
      <c r="EB16" s="312">
        <v>803</v>
      </c>
      <c r="EC16" s="286">
        <f>DW16*Wirtschaftlichkeit!$S$5/Wirtschaftlichkeit!$S$7</f>
        <v>9.9912950615847649</v>
      </c>
      <c r="ED16" s="284">
        <f t="shared" si="39"/>
        <v>728.9742773138388</v>
      </c>
      <c r="EF16" s="222">
        <v>803</v>
      </c>
      <c r="EG16" s="225">
        <f>IF($C16&gt;=Wirtschaftlichkeit!$T$8,Wirtschaftlichkeit!$T$8,IF(AND($C16&lt;=Wirtschaftlichkeit!$T$8,$C16&gt;=Wirtschaftlichkeit!$T$8*Eingabemaske!$B$18),$C16,"0"))</f>
        <v>21.277529999999999</v>
      </c>
      <c r="EH16" s="222">
        <v>803</v>
      </c>
      <c r="EI16" s="224">
        <f t="shared" si="40"/>
        <v>1552.4285849999999</v>
      </c>
      <c r="EJ16" s="222">
        <v>803</v>
      </c>
      <c r="EK16" s="226">
        <f t="shared" si="41"/>
        <v>21.277529999999999</v>
      </c>
      <c r="EL16" s="312">
        <v>803</v>
      </c>
      <c r="EM16" s="286">
        <f>EG16*Wirtschaftlichkeit!$T$5/Wirtschaftlichkeit!$T$7</f>
        <v>10.104427466083306</v>
      </c>
      <c r="EN16" s="284">
        <f t="shared" si="42"/>
        <v>737.22852386563864</v>
      </c>
      <c r="EP16" s="222">
        <v>803</v>
      </c>
      <c r="EQ16" s="225">
        <f>IF($C16&gt;=Wirtschaftlichkeit!$U$8,Wirtschaftlichkeit!$U$8,IF(AND($C16&lt;=Wirtschaftlichkeit!$U$8,$C16&gt;=Wirtschaftlichkeit!$U$8*Eingabemaske!$B$18),$C16,"0"))</f>
        <v>21.277529999999999</v>
      </c>
      <c r="ER16" s="222">
        <v>803</v>
      </c>
      <c r="ES16" s="224">
        <f t="shared" si="43"/>
        <v>1552.4285849999999</v>
      </c>
      <c r="ET16" s="222">
        <v>803</v>
      </c>
      <c r="EU16" s="226">
        <f t="shared" si="44"/>
        <v>21.277529999999999</v>
      </c>
      <c r="EV16" s="312">
        <v>803</v>
      </c>
      <c r="EW16" s="286">
        <f>EQ16*Wirtschaftlichkeit!$U$5/Wirtschaftlichkeit!$U$7</f>
        <v>10.211278237260892</v>
      </c>
      <c r="EX16" s="284">
        <f t="shared" si="45"/>
        <v>745.02445654698738</v>
      </c>
      <c r="EZ16" s="222">
        <v>803</v>
      </c>
      <c r="FA16" s="225">
        <f>IF($C16&gt;=Wirtschaftlichkeit!$V$8,Wirtschaftlichkeit!$V$8,IF(AND($C16&lt;=Wirtschaftlichkeit!$V$8,$C16&gt;=Wirtschaftlichkeit!$V$8*Eingabemaske!$B$18),$C16,"0"))</f>
        <v>21.277529999999999</v>
      </c>
      <c r="FB16" s="222">
        <v>803</v>
      </c>
      <c r="FC16" s="224">
        <f t="shared" si="46"/>
        <v>1552.4285849999999</v>
      </c>
      <c r="FD16" s="222">
        <v>803</v>
      </c>
      <c r="FE16" s="226">
        <f t="shared" si="47"/>
        <v>21.277529999999999</v>
      </c>
      <c r="FF16" s="312">
        <v>803</v>
      </c>
      <c r="FG16" s="286">
        <f>FA16*Wirtschaftlichkeit!$V$5/Wirtschaftlichkeit!$V$7</f>
        <v>10.312589085911188</v>
      </c>
      <c r="FH16" s="284">
        <f t="shared" si="48"/>
        <v>752.41619127443607</v>
      </c>
      <c r="FJ16" s="222">
        <v>803</v>
      </c>
      <c r="FK16" s="225">
        <f>IF($C16&gt;=Wirtschaftlichkeit!$W$8,Wirtschaftlichkeit!$W$8,IF(AND($C16&lt;=Wirtschaftlichkeit!$W$8,$C16&gt;=Wirtschaftlichkeit!$W$8*Eingabemaske!$B$18),$C16,"0"))</f>
        <v>21.277529999999999</v>
      </c>
      <c r="FL16" s="222">
        <v>803</v>
      </c>
      <c r="FM16" s="224">
        <f t="shared" si="49"/>
        <v>1552.4285849999999</v>
      </c>
      <c r="FN16" s="222">
        <v>803</v>
      </c>
      <c r="FO16" s="226">
        <f t="shared" si="50"/>
        <v>21.277529999999999</v>
      </c>
      <c r="FP16" s="312">
        <v>803</v>
      </c>
      <c r="FQ16" s="286">
        <f>FK16*Wirtschaftlichkeit!$W$5/Wirtschaftlichkeit!$W$7</f>
        <v>10.408973951952358</v>
      </c>
      <c r="FR16" s="284">
        <f t="shared" si="51"/>
        <v>759.44852168138209</v>
      </c>
      <c r="FT16" s="222">
        <v>803</v>
      </c>
      <c r="FU16" s="225">
        <f>IF($C16&gt;=Wirtschaftlichkeit!$X$8,Wirtschaftlichkeit!$X$8,IF(AND($C16&lt;=Wirtschaftlichkeit!$X$8,$C16&gt;=Wirtschaftlichkeit!$X$8*Eingabemaske!$B$18),$C16,"0"))</f>
        <v>21.277529999999999</v>
      </c>
      <c r="FV16" s="222">
        <v>803</v>
      </c>
      <c r="FW16" s="224">
        <f t="shared" si="52"/>
        <v>1552.4285849999999</v>
      </c>
      <c r="FX16" s="222">
        <v>803</v>
      </c>
      <c r="FY16" s="226">
        <f t="shared" si="53"/>
        <v>21.277529999999999</v>
      </c>
      <c r="FZ16" s="312">
        <v>803</v>
      </c>
      <c r="GA16" s="286">
        <f>FU16*Wirtschaftlichkeit!$X$5/Wirtschaftlichkeit!$X$7</f>
        <v>10.500947127992474</v>
      </c>
      <c r="GB16" s="284">
        <f t="shared" si="54"/>
        <v>766.15897103983264</v>
      </c>
      <c r="GD16" s="222">
        <v>803</v>
      </c>
      <c r="GE16" s="225">
        <f>IF($C16&gt;=Wirtschaftlichkeit!$Y$8,Wirtschaftlichkeit!$Y$8,IF(AND($C16&lt;=Wirtschaftlichkeit!$Y$8,$C16&gt;=Wirtschaftlichkeit!$Y$8*Eingabemaske!$B$18),$C16,"0"))</f>
        <v>21.277529999999999</v>
      </c>
      <c r="GF16" s="222">
        <v>803</v>
      </c>
      <c r="GG16" s="224">
        <f t="shared" si="55"/>
        <v>1552.4285849999999</v>
      </c>
      <c r="GH16" s="222">
        <v>803</v>
      </c>
      <c r="GI16" s="226">
        <f t="shared" si="56"/>
        <v>21.277529999999999</v>
      </c>
      <c r="GJ16" s="312">
        <v>803</v>
      </c>
      <c r="GK16" s="286">
        <f>GE16*Wirtschaftlichkeit!$Y$5/Wirtschaftlichkeit!$Y$7</f>
        <v>10.588943994437846</v>
      </c>
      <c r="GL16" s="284">
        <f t="shared" si="57"/>
        <v>772.57930511339396</v>
      </c>
      <c r="GN16" s="222">
        <v>803</v>
      </c>
      <c r="GO16" s="225">
        <f>IF($C16&gt;=Wirtschaftlichkeit!$Z$8,Wirtschaftlichkeit!$Z$8,IF(AND($C16&lt;=Wirtschaftlichkeit!$Z$8,$C16&gt;=Wirtschaftlichkeit!$Z$8*Eingabemaske!$B$18),$C16,"0"))</f>
        <v>21.277529999999999</v>
      </c>
      <c r="GP16" s="222">
        <v>803</v>
      </c>
      <c r="GQ16" s="224">
        <f t="shared" si="58"/>
        <v>1552.4285849999999</v>
      </c>
      <c r="GR16" s="222">
        <v>803</v>
      </c>
      <c r="GS16" s="226">
        <f t="shared" si="59"/>
        <v>21.277529999999999</v>
      </c>
      <c r="GT16" s="312">
        <v>803</v>
      </c>
      <c r="GU16" s="286">
        <f>GO16*Wirtschaftlichkeit!$Z$5/Wirtschaftlichkeit!$Z$7</f>
        <v>10.673336589403391</v>
      </c>
      <c r="GV16" s="284">
        <f t="shared" si="60"/>
        <v>778.73666815256422</v>
      </c>
      <c r="GW16" s="266"/>
      <c r="GX16" s="258">
        <v>803</v>
      </c>
      <c r="GY16" s="270">
        <f>IF(Berechnung_Diagramme!$C$28=Berechnungen_Lastgang!$F$2,Berechnungen_Lastgang!G16,IF(Berechnung_Diagramme!$C$28=Berechnungen_Lastgang!$P$2,Berechnungen_Lastgang!Q16,IF(Berechnung_Diagramme!$C$28=Berechnungen_Lastgang!$Z$2,Berechnungen_Lastgang!AA16,IF(Berechnung_Diagramme!$C$28=Berechnungen_Lastgang!$AJ$2,Berechnungen_Lastgang!AK16,IF(Berechnung_Diagramme!$C$28=Berechnungen_Lastgang!$AT$2,Berechnungen_Lastgang!AU16,IF(Berechnung_Diagramme!$C$28=Berechnungen_Lastgang!$BD$2,Berechnungen_Lastgang!BE16,IF(Berechnung_Diagramme!$C$28=Berechnungen_Lastgang!$BN$2,Berechnungen_Lastgang!BO16,IF(Berechnung_Diagramme!$C$28=Berechnungen_Lastgang!$BX$2,Berechnungen_Lastgang!BY16,IF(Berechnung_Diagramme!$C$28=Berechnungen_Lastgang!$CH$2,Berechnungen_Lastgang!CI16,IF(Berechnung_Diagramme!$C$28=Berechnungen_Lastgang!$CR$2,Berechnungen_Lastgang!CS16,IF(Berechnung_Diagramme!$C$28=Berechnungen_Lastgang!$DB$2,Berechnungen_Lastgang!DC16,IF(Berechnung_Diagramme!$C$28=Berechnungen_Lastgang!$DL$2,Berechnungen_Lastgang!DM16,IF(Berechnung_Diagramme!$C$28=Berechnungen_Lastgang!$DV$2,Berechnungen_Lastgang!DW16,IF(Berechnung_Diagramme!$C$28=Berechnungen_Lastgang!$EF$2,Berechnungen_Lastgang!EG16,IF(Berechnung_Diagramme!$C$28=Berechnungen_Lastgang!$EP$2,Berechnungen_Lastgang!EQ16,IF(Berechnung_Diagramme!$C$28=Berechnungen_Lastgang!$EZ$2,Berechnungen_Lastgang!FA16,IF(Berechnung_Diagramme!$C$28=Berechnungen_Lastgang!$FJ$2,Berechnungen_Lastgang!FK16,IF(Berechnung_Diagramme!$C$28=Berechnungen_Lastgang!$FT$2,Berechnungen_Lastgang!FU16,IF(Berechnung_Diagramme!$C$28=Berechnungen_Lastgang!$GD$2,Berechnungen_Lastgang!GE16,IF(Berechnung_Diagramme!$C$28=Berechnungen_Lastgang!$GN$2,Berechnungen_Lastgang!GO16,""))))))))))))))))))))</f>
        <v>20.966443256074175</v>
      </c>
    </row>
    <row r="17" spans="2:207" ht="14.45" x14ac:dyDescent="0.3">
      <c r="B17" s="64">
        <v>876</v>
      </c>
      <c r="C17" s="67">
        <f>C16+((C20-C16)/(B20-B16))*(B17-B16)</f>
        <v>21.254759999999997</v>
      </c>
      <c r="D17" s="66">
        <f t="shared" si="0"/>
        <v>1550.7663749999999</v>
      </c>
      <c r="F17" s="64">
        <v>876</v>
      </c>
      <c r="G17" s="225">
        <f>IF($C17&gt;=Wirtschaftlichkeit!$G$8,Wirtschaftlichkeit!$G$8,IF(AND($C17&lt;=Wirtschaftlichkeit!$G$8,$C17&gt;=Wirtschaftlichkeit!$G$8*Eingabemaske!$B$18),$C17,"0"))</f>
        <v>2.8333333333333335</v>
      </c>
      <c r="H17" s="64">
        <v>876</v>
      </c>
      <c r="I17" s="66">
        <f t="shared" si="1"/>
        <v>206.83333333333334</v>
      </c>
      <c r="J17" s="64">
        <v>876</v>
      </c>
      <c r="K17" s="71">
        <f t="shared" si="2"/>
        <v>2.8333333333333335</v>
      </c>
      <c r="L17" s="312">
        <v>876</v>
      </c>
      <c r="M17" s="286">
        <f>G17*Wirtschaftlichkeit!$G$5/Wirtschaftlichkeit!$G$7</f>
        <v>1</v>
      </c>
      <c r="N17" s="284">
        <f t="shared" si="3"/>
        <v>73</v>
      </c>
      <c r="P17" s="222">
        <v>876</v>
      </c>
      <c r="Q17" s="225">
        <f>IF($C17&gt;=Wirtschaftlichkeit!$H$8,Wirtschaftlichkeit!$H$8,IF(AND($C17&lt;=Wirtschaftlichkeit!$H$8,$C17&gt;=Wirtschaftlichkeit!$H$8*Eingabemaske!$B$18),$C17,"0"))</f>
        <v>5.5876288659793811</v>
      </c>
      <c r="R17" s="222">
        <v>876</v>
      </c>
      <c r="S17" s="224">
        <f t="shared" si="4"/>
        <v>407.89690721649481</v>
      </c>
      <c r="T17" s="222">
        <v>876</v>
      </c>
      <c r="U17" s="226">
        <f t="shared" si="5"/>
        <v>5.5876288659793811</v>
      </c>
      <c r="V17" s="312">
        <v>876</v>
      </c>
      <c r="W17" s="286">
        <f>Q17*Wirtschaftlichkeit!$H$5/Wirtschaftlichkeit!$H$7</f>
        <v>2</v>
      </c>
      <c r="X17" s="284">
        <f t="shared" si="6"/>
        <v>146</v>
      </c>
      <c r="Z17" s="222">
        <v>876</v>
      </c>
      <c r="AA17" s="225">
        <f>IF($C17&gt;=Wirtschaftlichkeit!$I$8,Wirtschaftlichkeit!$I$8,IF(AND($C17&lt;=Wirtschaftlichkeit!$I$8,$C17&gt;=Wirtschaftlichkeit!$I$8*Eingabemaske!$B$18),$C17,"0"))</f>
        <v>8.2471643149712612</v>
      </c>
      <c r="AB17" s="222">
        <v>876</v>
      </c>
      <c r="AC17" s="224">
        <f t="shared" si="7"/>
        <v>602.04299499290209</v>
      </c>
      <c r="AD17" s="222">
        <v>876</v>
      </c>
      <c r="AE17" s="226">
        <f t="shared" si="8"/>
        <v>8.2471643149712612</v>
      </c>
      <c r="AF17" s="312">
        <v>876</v>
      </c>
      <c r="AG17" s="286">
        <f>AA17*Wirtschaftlichkeit!$I$5/Wirtschaftlichkeit!$I$7</f>
        <v>3.0000000000000004</v>
      </c>
      <c r="AH17" s="284">
        <f t="shared" si="9"/>
        <v>219.00000000000003</v>
      </c>
      <c r="AJ17" s="222">
        <v>876</v>
      </c>
      <c r="AK17" s="225">
        <f>IF($C17&gt;=Wirtschaftlichkeit!$J$8,Wirtschaftlichkeit!$J$8,IF(AND($C17&lt;=Wirtschaftlichkeit!$J$8,$C17&gt;=Wirtschaftlichkeit!$J$8*Eingabemaske!$B$18),$C17,"0"))</f>
        <v>10.537455322965799</v>
      </c>
      <c r="AL17" s="222">
        <v>876</v>
      </c>
      <c r="AM17" s="224">
        <f t="shared" si="10"/>
        <v>769.23423857650334</v>
      </c>
      <c r="AN17" s="222">
        <v>876</v>
      </c>
      <c r="AO17" s="226">
        <f t="shared" si="11"/>
        <v>10.537455322965799</v>
      </c>
      <c r="AP17" s="312">
        <v>876</v>
      </c>
      <c r="AQ17" s="286">
        <f>AK17*Wirtschaftlichkeit!$J$5/Wirtschaftlichkeit!$J$7</f>
        <v>4</v>
      </c>
      <c r="AR17" s="284">
        <f t="shared" si="12"/>
        <v>292</v>
      </c>
      <c r="AT17" s="222">
        <v>876</v>
      </c>
      <c r="AU17" s="225">
        <f>IF($C17&gt;=Wirtschaftlichkeit!$K$8,Wirtschaftlichkeit!$K$8,IF(AND($C17&lt;=Wirtschaftlichkeit!$K$8,$C17&gt;=Wirtschaftlichkeit!$K$8*Eingabemaske!$B$18),$C17,"0"))</f>
        <v>12.739122166763016</v>
      </c>
      <c r="AV17" s="222">
        <v>876</v>
      </c>
      <c r="AW17" s="224">
        <f t="shared" si="13"/>
        <v>929.95591817370018</v>
      </c>
      <c r="AX17" s="222">
        <v>876</v>
      </c>
      <c r="AY17" s="226">
        <f t="shared" si="14"/>
        <v>12.739122166763016</v>
      </c>
      <c r="AZ17" s="312">
        <v>876</v>
      </c>
      <c r="BA17" s="286">
        <f>AU17*Wirtschaftlichkeit!$K$5/Wirtschaftlichkeit!$K$7</f>
        <v>5</v>
      </c>
      <c r="BB17" s="284">
        <f t="shared" si="15"/>
        <v>365</v>
      </c>
      <c r="BD17" s="222">
        <v>876</v>
      </c>
      <c r="BE17" s="225">
        <f>IF($C17&gt;=Wirtschaftlichkeit!$L$8,Wirtschaftlichkeit!$L$8,IF(AND($C17&lt;=Wirtschaftlichkeit!$L$8,$C17&gt;=Wirtschaftlichkeit!$L$8*Eingabemaske!$B$18),$C17,"0"))</f>
        <v>14.87189090675227</v>
      </c>
      <c r="BF17" s="222">
        <v>876</v>
      </c>
      <c r="BG17" s="224">
        <f t="shared" si="16"/>
        <v>1085.6480361929157</v>
      </c>
      <c r="BH17" s="222">
        <v>876</v>
      </c>
      <c r="BI17" s="226">
        <f t="shared" si="17"/>
        <v>14.87189090675227</v>
      </c>
      <c r="BJ17" s="312">
        <v>876</v>
      </c>
      <c r="BK17" s="286">
        <f>BE17*Wirtschaftlichkeit!$L$5/Wirtschaftlichkeit!$L$7</f>
        <v>6</v>
      </c>
      <c r="BL17" s="284">
        <f t="shared" si="18"/>
        <v>438</v>
      </c>
      <c r="BN17" s="222">
        <v>876</v>
      </c>
      <c r="BO17" s="225">
        <f>IF($C17&gt;=Wirtschaftlichkeit!$M$8,Wirtschaftlichkeit!$M$8,IF(AND($C17&lt;=Wirtschaftlichkeit!$M$8,$C17&gt;=Wirtschaftlichkeit!$M$8*Eingabemaske!$B$18),$C17,"0"))</f>
        <v>16.948500863015312</v>
      </c>
      <c r="BP17" s="222">
        <v>876</v>
      </c>
      <c r="BQ17" s="224">
        <f t="shared" si="19"/>
        <v>1237.2405630001178</v>
      </c>
      <c r="BR17" s="222">
        <v>876</v>
      </c>
      <c r="BS17" s="226">
        <f t="shared" si="20"/>
        <v>16.948500863015312</v>
      </c>
      <c r="BT17" s="312">
        <v>876</v>
      </c>
      <c r="BU17" s="286">
        <f>BO17*Wirtschaftlichkeit!$M$5/Wirtschaftlichkeit!$M$7</f>
        <v>7</v>
      </c>
      <c r="BV17" s="284">
        <f t="shared" si="21"/>
        <v>511</v>
      </c>
      <c r="BX17" s="222">
        <v>876</v>
      </c>
      <c r="BY17" s="225">
        <f>IF($C17&gt;=Wirtschaftlichkeit!$N$8,Wirtschaftlichkeit!$N$8,IF(AND($C17&lt;=Wirtschaftlichkeit!$N$8,$C17&gt;=Wirtschaftlichkeit!$N$8*Eingabemaske!$B$18),$C17,"0"))</f>
        <v>18.977838419132468</v>
      </c>
      <c r="BZ17" s="222">
        <v>876</v>
      </c>
      <c r="CA17" s="224">
        <f t="shared" si="22"/>
        <v>1385.3822045966701</v>
      </c>
      <c r="CB17" s="222">
        <v>876</v>
      </c>
      <c r="CC17" s="226">
        <f t="shared" si="23"/>
        <v>18.977838419132468</v>
      </c>
      <c r="CD17" s="312">
        <v>876</v>
      </c>
      <c r="CE17" s="286">
        <f>BY17*Wirtschaftlichkeit!$N$5/Wirtschaftlichkeit!$N$7</f>
        <v>8</v>
      </c>
      <c r="CF17" s="284">
        <f t="shared" si="24"/>
        <v>584</v>
      </c>
      <c r="CH17" s="222">
        <v>876</v>
      </c>
      <c r="CI17" s="225">
        <f>IF($C17&gt;=Wirtschaftlichkeit!$O$8,Wirtschaftlichkeit!$O$8,IF(AND($C17&lt;=Wirtschaftlichkeit!$O$8,$C17&gt;=Wirtschaftlichkeit!$O$8*Eingabemaske!$B$18),$C17,"0"))</f>
        <v>20.966443256074175</v>
      </c>
      <c r="CJ17" s="222">
        <v>876</v>
      </c>
      <c r="CK17" s="224">
        <f t="shared" si="25"/>
        <v>1530.5503576934148</v>
      </c>
      <c r="CL17" s="222">
        <v>876</v>
      </c>
      <c r="CM17" s="226">
        <f t="shared" si="26"/>
        <v>20.966443256074175</v>
      </c>
      <c r="CN17" s="312">
        <v>876</v>
      </c>
      <c r="CO17" s="286">
        <f>CI17*Wirtschaftlichkeit!$O$5/Wirtschaftlichkeit!$O$7</f>
        <v>9</v>
      </c>
      <c r="CP17" s="284">
        <f t="shared" si="27"/>
        <v>657</v>
      </c>
      <c r="CR17" s="222">
        <v>876</v>
      </c>
      <c r="CS17" s="225">
        <f>IF($C17&gt;=Wirtschaftlichkeit!$P$8,Wirtschaftlichkeit!$P$8,IF(AND($C17&lt;=Wirtschaftlichkeit!$P$8,$C17&gt;=Wirtschaftlichkeit!$P$8*Eingabemaske!$B$18),$C17,"0"))</f>
        <v>21.254759999999997</v>
      </c>
      <c r="CT17" s="222">
        <v>876</v>
      </c>
      <c r="CU17" s="224">
        <f t="shared" si="28"/>
        <v>1550.7663749999999</v>
      </c>
      <c r="CV17" s="222">
        <v>876</v>
      </c>
      <c r="CW17" s="226">
        <f t="shared" si="29"/>
        <v>21.254759999999997</v>
      </c>
      <c r="CX17" s="312">
        <v>876</v>
      </c>
      <c r="CY17" s="286">
        <f>CS17*Wirtschaftlichkeit!$P$5/Wirtschaftlichkeit!$P$7</f>
        <v>9.2737298618752355</v>
      </c>
      <c r="CZ17" s="284">
        <f t="shared" si="30"/>
        <v>676.61965793212948</v>
      </c>
      <c r="DB17" s="222">
        <v>876</v>
      </c>
      <c r="DC17" s="225">
        <f>IF($C17&gt;=Wirtschaftlichkeit!$Q$8,Wirtschaftlichkeit!$Q$8,IF(AND($C17&lt;=Wirtschaftlichkeit!$Q$8,$C17&gt;=Wirtschaftlichkeit!$Q$8*Eingabemaske!$B$18),$C17,"0"))</f>
        <v>21.254759999999997</v>
      </c>
      <c r="DD17" s="222">
        <v>876</v>
      </c>
      <c r="DE17" s="224">
        <f t="shared" si="31"/>
        <v>1550.7663749999999</v>
      </c>
      <c r="DF17" s="222">
        <v>876</v>
      </c>
      <c r="DG17" s="226">
        <f t="shared" si="32"/>
        <v>21.254759999999997</v>
      </c>
      <c r="DH17" s="312">
        <v>876</v>
      </c>
      <c r="DI17" s="286">
        <f>DC17*Wirtschaftlichkeit!$Q$5/Wirtschaftlichkeit!$Q$7</f>
        <v>9.7319039943665171</v>
      </c>
      <c r="DJ17" s="284">
        <f t="shared" si="33"/>
        <v>710.04845404943569</v>
      </c>
      <c r="DL17" s="222">
        <v>876</v>
      </c>
      <c r="DM17" s="225">
        <f>IF($C17&gt;=Wirtschaftlichkeit!$R$8,Wirtschaftlichkeit!$R$8,IF(AND($C17&lt;=Wirtschaftlichkeit!$R$8,$C17&gt;=Wirtschaftlichkeit!$R$8*Eingabemaske!$B$18),$C17,"0"))</f>
        <v>21.254759999999997</v>
      </c>
      <c r="DN17" s="222">
        <v>876</v>
      </c>
      <c r="DO17" s="224">
        <f t="shared" si="34"/>
        <v>1550.7663749999999</v>
      </c>
      <c r="DP17" s="222">
        <v>876</v>
      </c>
      <c r="DQ17" s="226">
        <f t="shared" si="35"/>
        <v>21.254759999999997</v>
      </c>
      <c r="DR17" s="312">
        <v>876</v>
      </c>
      <c r="DS17" s="286">
        <f>DM17*Wirtschaftlichkeit!$R$5/Wirtschaftlichkeit!$R$7</f>
        <v>9.8604092428631045</v>
      </c>
      <c r="DT17" s="284">
        <f t="shared" si="36"/>
        <v>719.4243123691499</v>
      </c>
      <c r="DV17" s="222">
        <v>876</v>
      </c>
      <c r="DW17" s="225">
        <f>IF($C17&gt;=Wirtschaftlichkeit!$S$8,Wirtschaftlichkeit!$S$8,IF(AND($C17&lt;=Wirtschaftlichkeit!$S$8,$C17&gt;=Wirtschaftlichkeit!$S$8*Eingabemaske!$B$18),$C17,"0"))</f>
        <v>21.254759999999997</v>
      </c>
      <c r="DX17" s="222">
        <v>876</v>
      </c>
      <c r="DY17" s="224">
        <f t="shared" si="37"/>
        <v>1550.7663749999999</v>
      </c>
      <c r="DZ17" s="222">
        <v>876</v>
      </c>
      <c r="EA17" s="226">
        <f t="shared" si="38"/>
        <v>21.254759999999997</v>
      </c>
      <c r="EB17" s="312">
        <v>876</v>
      </c>
      <c r="EC17" s="286">
        <f>DW17*Wirtschaftlichkeit!$S$5/Wirtschaftlichkeit!$S$7</f>
        <v>9.9806029470135584</v>
      </c>
      <c r="ED17" s="284">
        <f t="shared" si="39"/>
        <v>728.19375295014072</v>
      </c>
      <c r="EF17" s="222">
        <v>876</v>
      </c>
      <c r="EG17" s="225">
        <f>IF($C17&gt;=Wirtschaftlichkeit!$T$8,Wirtschaftlichkeit!$T$8,IF(AND($C17&lt;=Wirtschaftlichkeit!$T$8,$C17&gt;=Wirtschaftlichkeit!$T$8*Eingabemaske!$B$18),$C17,"0"))</f>
        <v>21.254759999999997</v>
      </c>
      <c r="EH17" s="222">
        <v>876</v>
      </c>
      <c r="EI17" s="224">
        <f t="shared" si="40"/>
        <v>1550.7663749999999</v>
      </c>
      <c r="EJ17" s="222">
        <v>876</v>
      </c>
      <c r="EK17" s="226">
        <f t="shared" si="41"/>
        <v>21.254759999999997</v>
      </c>
      <c r="EL17" s="312">
        <v>876</v>
      </c>
      <c r="EM17" s="286">
        <f>EG17*Wirtschaftlichkeit!$T$5/Wirtschaftlichkeit!$T$7</f>
        <v>10.093614283660218</v>
      </c>
      <c r="EN17" s="284">
        <f t="shared" si="42"/>
        <v>736.43916154875319</v>
      </c>
      <c r="EP17" s="222">
        <v>876</v>
      </c>
      <c r="EQ17" s="225">
        <f>IF($C17&gt;=Wirtschaftlichkeit!$U$8,Wirtschaftlichkeit!$U$8,IF(AND($C17&lt;=Wirtschaftlichkeit!$U$8,$C17&gt;=Wirtschaftlichkeit!$U$8*Eingabemaske!$B$18),$C17,"0"))</f>
        <v>21.254759999999997</v>
      </c>
      <c r="ER17" s="222">
        <v>876</v>
      </c>
      <c r="ES17" s="224">
        <f t="shared" si="43"/>
        <v>1550.7663749999999</v>
      </c>
      <c r="ET17" s="222">
        <v>876</v>
      </c>
      <c r="EU17" s="226">
        <f t="shared" si="44"/>
        <v>21.254759999999997</v>
      </c>
      <c r="EV17" s="312">
        <v>876</v>
      </c>
      <c r="EW17" s="286">
        <f>EQ17*Wirtschaftlichkeit!$U$5/Wirtschaftlichkeit!$U$7</f>
        <v>10.200350709231914</v>
      </c>
      <c r="EX17" s="284">
        <f t="shared" si="45"/>
        <v>744.22674700087214</v>
      </c>
      <c r="EZ17" s="222">
        <v>876</v>
      </c>
      <c r="FA17" s="225">
        <f>IF($C17&gt;=Wirtschaftlichkeit!$V$8,Wirtschaftlichkeit!$V$8,IF(AND($C17&lt;=Wirtschaftlichkeit!$V$8,$C17&gt;=Wirtschaftlichkeit!$V$8*Eingabemaske!$B$18),$C17,"0"))</f>
        <v>21.254759999999997</v>
      </c>
      <c r="FB17" s="222">
        <v>876</v>
      </c>
      <c r="FC17" s="224">
        <f t="shared" si="46"/>
        <v>1550.7663749999999</v>
      </c>
      <c r="FD17" s="222">
        <v>876</v>
      </c>
      <c r="FE17" s="226">
        <f t="shared" si="47"/>
        <v>21.254759999999997</v>
      </c>
      <c r="FF17" s="312">
        <v>876</v>
      </c>
      <c r="FG17" s="286">
        <f>FA17*Wirtschaftlichkeit!$V$5/Wirtschaftlichkeit!$V$7</f>
        <v>10.301553140785687</v>
      </c>
      <c r="FH17" s="284">
        <f t="shared" si="48"/>
        <v>751.61056728027449</v>
      </c>
      <c r="FJ17" s="222">
        <v>876</v>
      </c>
      <c r="FK17" s="225">
        <f>IF($C17&gt;=Wirtschaftlichkeit!$W$8,Wirtschaftlichkeit!$W$8,IF(AND($C17&lt;=Wirtschaftlichkeit!$W$8,$C17&gt;=Wirtschaftlichkeit!$W$8*Eingabemaske!$B$18),$C17,"0"))</f>
        <v>21.254759999999997</v>
      </c>
      <c r="FL17" s="222">
        <v>876</v>
      </c>
      <c r="FM17" s="224">
        <f t="shared" si="49"/>
        <v>1550.7663749999999</v>
      </c>
      <c r="FN17" s="222">
        <v>876</v>
      </c>
      <c r="FO17" s="226">
        <f t="shared" si="50"/>
        <v>21.254759999999997</v>
      </c>
      <c r="FP17" s="312">
        <v>876</v>
      </c>
      <c r="FQ17" s="286">
        <f>FK17*Wirtschaftlichkeit!$W$5/Wirtschaftlichkeit!$W$7</f>
        <v>10.397834861236191</v>
      </c>
      <c r="FR17" s="284">
        <f t="shared" si="51"/>
        <v>758.63536805910201</v>
      </c>
      <c r="FT17" s="222">
        <v>876</v>
      </c>
      <c r="FU17" s="225">
        <f>IF($C17&gt;=Wirtschaftlichkeit!$X$8,Wirtschaftlichkeit!$X$8,IF(AND($C17&lt;=Wirtschaftlichkeit!$X$8,$C17&gt;=Wirtschaftlichkeit!$X$8*Eingabemaske!$B$18),$C17,"0"))</f>
        <v>21.254759999999997</v>
      </c>
      <c r="FV17" s="222">
        <v>876</v>
      </c>
      <c r="FW17" s="224">
        <f t="shared" si="52"/>
        <v>1550.7663749999999</v>
      </c>
      <c r="FX17" s="222">
        <v>876</v>
      </c>
      <c r="FY17" s="226">
        <f t="shared" si="53"/>
        <v>21.254759999999997</v>
      </c>
      <c r="FZ17" s="312">
        <v>876</v>
      </c>
      <c r="GA17" s="286">
        <f>FU17*Wirtschaftlichkeit!$X$5/Wirtschaftlichkeit!$X$7</f>
        <v>10.489709612824859</v>
      </c>
      <c r="GB17" s="284">
        <f t="shared" si="54"/>
        <v>765.3386324325968</v>
      </c>
      <c r="GD17" s="222">
        <v>876</v>
      </c>
      <c r="GE17" s="225">
        <f>IF($C17&gt;=Wirtschaftlichkeit!$Y$8,Wirtschaftlichkeit!$Y$8,IF(AND($C17&lt;=Wirtschaftlichkeit!$Y$8,$C17&gt;=Wirtschaftlichkeit!$Y$8*Eingabemaske!$B$18),$C17,"0"))</f>
        <v>21.254759999999997</v>
      </c>
      <c r="GF17" s="222">
        <v>876</v>
      </c>
      <c r="GG17" s="224">
        <f t="shared" si="55"/>
        <v>1550.7663749999999</v>
      </c>
      <c r="GH17" s="222">
        <v>876</v>
      </c>
      <c r="GI17" s="226">
        <f t="shared" si="56"/>
        <v>21.254759999999997</v>
      </c>
      <c r="GJ17" s="312">
        <v>876</v>
      </c>
      <c r="GK17" s="286">
        <f>GE17*Wirtschaftlichkeit!$Y$5/Wirtschaftlichkeit!$Y$7</f>
        <v>10.577612310038701</v>
      </c>
      <c r="GL17" s="284">
        <f t="shared" si="57"/>
        <v>771.75209215225652</v>
      </c>
      <c r="GN17" s="222">
        <v>876</v>
      </c>
      <c r="GO17" s="225">
        <f>IF($C17&gt;=Wirtschaftlichkeit!$Z$8,Wirtschaftlichkeit!$Z$8,IF(AND($C17&lt;=Wirtschaftlichkeit!$Z$8,$C17&gt;=Wirtschaftlichkeit!$Z$8*Eingabemaske!$B$18),$C17,"0"))</f>
        <v>21.254759999999997</v>
      </c>
      <c r="GP17" s="222">
        <v>876</v>
      </c>
      <c r="GQ17" s="224">
        <f t="shared" si="58"/>
        <v>1550.7663749999999</v>
      </c>
      <c r="GR17" s="222">
        <v>876</v>
      </c>
      <c r="GS17" s="226">
        <f t="shared" si="59"/>
        <v>21.254759999999997</v>
      </c>
      <c r="GT17" s="312">
        <v>876</v>
      </c>
      <c r="GU17" s="286">
        <f>GO17*Wirtschaftlichkeit!$Z$5/Wirtschaftlichkeit!$Z$7</f>
        <v>10.661914592858645</v>
      </c>
      <c r="GV17" s="284">
        <f t="shared" si="60"/>
        <v>777.90286240479793</v>
      </c>
      <c r="GW17" s="266"/>
      <c r="GX17" s="258">
        <v>876</v>
      </c>
      <c r="GY17" s="270">
        <f>IF(Berechnung_Diagramme!$C$28=Berechnungen_Lastgang!$F$2,Berechnungen_Lastgang!G17,IF(Berechnung_Diagramme!$C$28=Berechnungen_Lastgang!$P$2,Berechnungen_Lastgang!Q17,IF(Berechnung_Diagramme!$C$28=Berechnungen_Lastgang!$Z$2,Berechnungen_Lastgang!AA17,IF(Berechnung_Diagramme!$C$28=Berechnungen_Lastgang!$AJ$2,Berechnungen_Lastgang!AK17,IF(Berechnung_Diagramme!$C$28=Berechnungen_Lastgang!$AT$2,Berechnungen_Lastgang!AU17,IF(Berechnung_Diagramme!$C$28=Berechnungen_Lastgang!$BD$2,Berechnungen_Lastgang!BE17,IF(Berechnung_Diagramme!$C$28=Berechnungen_Lastgang!$BN$2,Berechnungen_Lastgang!BO17,IF(Berechnung_Diagramme!$C$28=Berechnungen_Lastgang!$BX$2,Berechnungen_Lastgang!BY17,IF(Berechnung_Diagramme!$C$28=Berechnungen_Lastgang!$CH$2,Berechnungen_Lastgang!CI17,IF(Berechnung_Diagramme!$C$28=Berechnungen_Lastgang!$CR$2,Berechnungen_Lastgang!CS17,IF(Berechnung_Diagramme!$C$28=Berechnungen_Lastgang!$DB$2,Berechnungen_Lastgang!DC17,IF(Berechnung_Diagramme!$C$28=Berechnungen_Lastgang!$DL$2,Berechnungen_Lastgang!DM17,IF(Berechnung_Diagramme!$C$28=Berechnungen_Lastgang!$DV$2,Berechnungen_Lastgang!DW17,IF(Berechnung_Diagramme!$C$28=Berechnungen_Lastgang!$EF$2,Berechnungen_Lastgang!EG17,IF(Berechnung_Diagramme!$C$28=Berechnungen_Lastgang!$EP$2,Berechnungen_Lastgang!EQ17,IF(Berechnung_Diagramme!$C$28=Berechnungen_Lastgang!$EZ$2,Berechnungen_Lastgang!FA17,IF(Berechnung_Diagramme!$C$28=Berechnungen_Lastgang!$FJ$2,Berechnungen_Lastgang!FK17,IF(Berechnung_Diagramme!$C$28=Berechnungen_Lastgang!$FT$2,Berechnungen_Lastgang!FU17,IF(Berechnung_Diagramme!$C$28=Berechnungen_Lastgang!$GD$2,Berechnungen_Lastgang!GE17,IF(Berechnung_Diagramme!$C$28=Berechnungen_Lastgang!$GN$2,Berechnungen_Lastgang!GO17,""))))))))))))))))))))</f>
        <v>20.966443256074175</v>
      </c>
    </row>
    <row r="18" spans="2:207" ht="14.45" x14ac:dyDescent="0.3">
      <c r="B18" s="64">
        <v>949</v>
      </c>
      <c r="C18" s="67">
        <f>C17+((C20-C17)/(B20-B17))*(B18-B17)</f>
        <v>21.23199</v>
      </c>
      <c r="D18" s="66">
        <f t="shared" si="0"/>
        <v>1549.104165</v>
      </c>
      <c r="F18" s="64">
        <v>949</v>
      </c>
      <c r="G18" s="225">
        <f>IF($C18&gt;=Wirtschaftlichkeit!$G$8,Wirtschaftlichkeit!$G$8,IF(AND($C18&lt;=Wirtschaftlichkeit!$G$8,$C18&gt;=Wirtschaftlichkeit!$G$8*Eingabemaske!$B$18),$C18,"0"))</f>
        <v>2.8333333333333335</v>
      </c>
      <c r="H18" s="64">
        <v>949</v>
      </c>
      <c r="I18" s="66">
        <f t="shared" si="1"/>
        <v>206.83333333333334</v>
      </c>
      <c r="J18" s="64">
        <v>949</v>
      </c>
      <c r="K18" s="71">
        <f t="shared" si="2"/>
        <v>2.8333333333333335</v>
      </c>
      <c r="L18" s="312">
        <v>949</v>
      </c>
      <c r="M18" s="286">
        <f>G18*Wirtschaftlichkeit!$G$5/Wirtschaftlichkeit!$G$7</f>
        <v>1</v>
      </c>
      <c r="N18" s="284">
        <f t="shared" si="3"/>
        <v>73</v>
      </c>
      <c r="P18" s="222">
        <v>949</v>
      </c>
      <c r="Q18" s="225">
        <f>IF($C18&gt;=Wirtschaftlichkeit!$H$8,Wirtschaftlichkeit!$H$8,IF(AND($C18&lt;=Wirtschaftlichkeit!$H$8,$C18&gt;=Wirtschaftlichkeit!$H$8*Eingabemaske!$B$18),$C18,"0"))</f>
        <v>5.5876288659793811</v>
      </c>
      <c r="R18" s="222">
        <v>949</v>
      </c>
      <c r="S18" s="224">
        <f t="shared" si="4"/>
        <v>407.89690721649481</v>
      </c>
      <c r="T18" s="222">
        <v>949</v>
      </c>
      <c r="U18" s="226">
        <f t="shared" si="5"/>
        <v>5.5876288659793811</v>
      </c>
      <c r="V18" s="312">
        <v>949</v>
      </c>
      <c r="W18" s="286">
        <f>Q18*Wirtschaftlichkeit!$H$5/Wirtschaftlichkeit!$H$7</f>
        <v>2</v>
      </c>
      <c r="X18" s="284">
        <f t="shared" si="6"/>
        <v>146</v>
      </c>
      <c r="Z18" s="222">
        <v>949</v>
      </c>
      <c r="AA18" s="225">
        <f>IF($C18&gt;=Wirtschaftlichkeit!$I$8,Wirtschaftlichkeit!$I$8,IF(AND($C18&lt;=Wirtschaftlichkeit!$I$8,$C18&gt;=Wirtschaftlichkeit!$I$8*Eingabemaske!$B$18),$C18,"0"))</f>
        <v>8.2471643149712612</v>
      </c>
      <c r="AB18" s="222">
        <v>949</v>
      </c>
      <c r="AC18" s="224">
        <f t="shared" si="7"/>
        <v>602.04299499290209</v>
      </c>
      <c r="AD18" s="222">
        <v>949</v>
      </c>
      <c r="AE18" s="226">
        <f t="shared" si="8"/>
        <v>8.2471643149712612</v>
      </c>
      <c r="AF18" s="312">
        <v>949</v>
      </c>
      <c r="AG18" s="286">
        <f>AA18*Wirtschaftlichkeit!$I$5/Wirtschaftlichkeit!$I$7</f>
        <v>3.0000000000000004</v>
      </c>
      <c r="AH18" s="284">
        <f t="shared" si="9"/>
        <v>219.00000000000003</v>
      </c>
      <c r="AJ18" s="222">
        <v>949</v>
      </c>
      <c r="AK18" s="225">
        <f>IF($C18&gt;=Wirtschaftlichkeit!$J$8,Wirtschaftlichkeit!$J$8,IF(AND($C18&lt;=Wirtschaftlichkeit!$J$8,$C18&gt;=Wirtschaftlichkeit!$J$8*Eingabemaske!$B$18),$C18,"0"))</f>
        <v>10.537455322965799</v>
      </c>
      <c r="AL18" s="222">
        <v>949</v>
      </c>
      <c r="AM18" s="224">
        <f t="shared" si="10"/>
        <v>769.23423857650334</v>
      </c>
      <c r="AN18" s="222">
        <v>949</v>
      </c>
      <c r="AO18" s="226">
        <f t="shared" si="11"/>
        <v>10.537455322965799</v>
      </c>
      <c r="AP18" s="312">
        <v>949</v>
      </c>
      <c r="AQ18" s="286">
        <f>AK18*Wirtschaftlichkeit!$J$5/Wirtschaftlichkeit!$J$7</f>
        <v>4</v>
      </c>
      <c r="AR18" s="284">
        <f t="shared" si="12"/>
        <v>292</v>
      </c>
      <c r="AT18" s="222">
        <v>949</v>
      </c>
      <c r="AU18" s="225">
        <f>IF($C18&gt;=Wirtschaftlichkeit!$K$8,Wirtschaftlichkeit!$K$8,IF(AND($C18&lt;=Wirtschaftlichkeit!$K$8,$C18&gt;=Wirtschaftlichkeit!$K$8*Eingabemaske!$B$18),$C18,"0"))</f>
        <v>12.739122166763016</v>
      </c>
      <c r="AV18" s="222">
        <v>949</v>
      </c>
      <c r="AW18" s="224">
        <f t="shared" si="13"/>
        <v>929.95591817370018</v>
      </c>
      <c r="AX18" s="222">
        <v>949</v>
      </c>
      <c r="AY18" s="226">
        <f t="shared" si="14"/>
        <v>12.739122166763016</v>
      </c>
      <c r="AZ18" s="312">
        <v>949</v>
      </c>
      <c r="BA18" s="286">
        <f>AU18*Wirtschaftlichkeit!$K$5/Wirtschaftlichkeit!$K$7</f>
        <v>5</v>
      </c>
      <c r="BB18" s="284">
        <f t="shared" si="15"/>
        <v>365</v>
      </c>
      <c r="BD18" s="222">
        <v>949</v>
      </c>
      <c r="BE18" s="225">
        <f>IF($C18&gt;=Wirtschaftlichkeit!$L$8,Wirtschaftlichkeit!$L$8,IF(AND($C18&lt;=Wirtschaftlichkeit!$L$8,$C18&gt;=Wirtschaftlichkeit!$L$8*Eingabemaske!$B$18),$C18,"0"))</f>
        <v>14.87189090675227</v>
      </c>
      <c r="BF18" s="222">
        <v>949</v>
      </c>
      <c r="BG18" s="224">
        <f t="shared" si="16"/>
        <v>1085.6480361929157</v>
      </c>
      <c r="BH18" s="222">
        <v>949</v>
      </c>
      <c r="BI18" s="226">
        <f t="shared" si="17"/>
        <v>14.87189090675227</v>
      </c>
      <c r="BJ18" s="312">
        <v>949</v>
      </c>
      <c r="BK18" s="286">
        <f>BE18*Wirtschaftlichkeit!$L$5/Wirtschaftlichkeit!$L$7</f>
        <v>6</v>
      </c>
      <c r="BL18" s="284">
        <f t="shared" si="18"/>
        <v>438</v>
      </c>
      <c r="BN18" s="222">
        <v>949</v>
      </c>
      <c r="BO18" s="225">
        <f>IF($C18&gt;=Wirtschaftlichkeit!$M$8,Wirtschaftlichkeit!$M$8,IF(AND($C18&lt;=Wirtschaftlichkeit!$M$8,$C18&gt;=Wirtschaftlichkeit!$M$8*Eingabemaske!$B$18),$C18,"0"))</f>
        <v>16.948500863015312</v>
      </c>
      <c r="BP18" s="222">
        <v>949</v>
      </c>
      <c r="BQ18" s="224">
        <f t="shared" si="19"/>
        <v>1237.2405630001178</v>
      </c>
      <c r="BR18" s="222">
        <v>949</v>
      </c>
      <c r="BS18" s="226">
        <f t="shared" si="20"/>
        <v>16.948500863015312</v>
      </c>
      <c r="BT18" s="312">
        <v>949</v>
      </c>
      <c r="BU18" s="286">
        <f>BO18*Wirtschaftlichkeit!$M$5/Wirtschaftlichkeit!$M$7</f>
        <v>7</v>
      </c>
      <c r="BV18" s="284">
        <f t="shared" si="21"/>
        <v>511</v>
      </c>
      <c r="BX18" s="222">
        <v>949</v>
      </c>
      <c r="BY18" s="225">
        <f>IF($C18&gt;=Wirtschaftlichkeit!$N$8,Wirtschaftlichkeit!$N$8,IF(AND($C18&lt;=Wirtschaftlichkeit!$N$8,$C18&gt;=Wirtschaftlichkeit!$N$8*Eingabemaske!$B$18),$C18,"0"))</f>
        <v>18.977838419132468</v>
      </c>
      <c r="BZ18" s="222">
        <v>949</v>
      </c>
      <c r="CA18" s="224">
        <f t="shared" si="22"/>
        <v>1385.3822045966701</v>
      </c>
      <c r="CB18" s="222">
        <v>949</v>
      </c>
      <c r="CC18" s="226">
        <f t="shared" si="23"/>
        <v>18.977838419132468</v>
      </c>
      <c r="CD18" s="312">
        <v>949</v>
      </c>
      <c r="CE18" s="286">
        <f>BY18*Wirtschaftlichkeit!$N$5/Wirtschaftlichkeit!$N$7</f>
        <v>8</v>
      </c>
      <c r="CF18" s="284">
        <f t="shared" si="24"/>
        <v>584</v>
      </c>
      <c r="CH18" s="222">
        <v>949</v>
      </c>
      <c r="CI18" s="225">
        <f>IF($C18&gt;=Wirtschaftlichkeit!$O$8,Wirtschaftlichkeit!$O$8,IF(AND($C18&lt;=Wirtschaftlichkeit!$O$8,$C18&gt;=Wirtschaftlichkeit!$O$8*Eingabemaske!$B$18),$C18,"0"))</f>
        <v>20.966443256074175</v>
      </c>
      <c r="CJ18" s="222">
        <v>949</v>
      </c>
      <c r="CK18" s="224">
        <f t="shared" si="25"/>
        <v>1530.5503576934148</v>
      </c>
      <c r="CL18" s="222">
        <v>949</v>
      </c>
      <c r="CM18" s="226">
        <f t="shared" si="26"/>
        <v>20.966443256074175</v>
      </c>
      <c r="CN18" s="312">
        <v>949</v>
      </c>
      <c r="CO18" s="286">
        <f>CI18*Wirtschaftlichkeit!$O$5/Wirtschaftlichkeit!$O$7</f>
        <v>9</v>
      </c>
      <c r="CP18" s="284">
        <f t="shared" si="27"/>
        <v>657</v>
      </c>
      <c r="CR18" s="222">
        <v>949</v>
      </c>
      <c r="CS18" s="225">
        <f>IF($C18&gt;=Wirtschaftlichkeit!$P$8,Wirtschaftlichkeit!$P$8,IF(AND($C18&lt;=Wirtschaftlichkeit!$P$8,$C18&gt;=Wirtschaftlichkeit!$P$8*Eingabemaske!$B$18),$C18,"0"))</f>
        <v>21.23199</v>
      </c>
      <c r="CT18" s="222">
        <v>949</v>
      </c>
      <c r="CU18" s="224">
        <f t="shared" si="28"/>
        <v>1549.104165</v>
      </c>
      <c r="CV18" s="222">
        <v>949</v>
      </c>
      <c r="CW18" s="226">
        <f t="shared" si="29"/>
        <v>21.23199</v>
      </c>
      <c r="CX18" s="312">
        <v>949</v>
      </c>
      <c r="CY18" s="286">
        <f>CS18*Wirtschaftlichkeit!$P$5/Wirtschaftlichkeit!$P$7</f>
        <v>9.2637950129776296</v>
      </c>
      <c r="CZ18" s="284">
        <f t="shared" si="30"/>
        <v>675.8944139626044</v>
      </c>
      <c r="DB18" s="222">
        <v>949</v>
      </c>
      <c r="DC18" s="225">
        <f>IF($C18&gt;=Wirtschaftlichkeit!$Q$8,Wirtschaftlichkeit!$Q$8,IF(AND($C18&lt;=Wirtschaftlichkeit!$Q$8,$C18&gt;=Wirtschaftlichkeit!$Q$8*Eingabemaske!$B$18),$C18,"0"))</f>
        <v>21.23199</v>
      </c>
      <c r="DD18" s="222">
        <v>949</v>
      </c>
      <c r="DE18" s="224">
        <f t="shared" si="31"/>
        <v>1549.104165</v>
      </c>
      <c r="DF18" s="222">
        <v>949</v>
      </c>
      <c r="DG18" s="226">
        <f t="shared" si="32"/>
        <v>21.23199</v>
      </c>
      <c r="DH18" s="312">
        <v>949</v>
      </c>
      <c r="DI18" s="286">
        <f>DC18*Wirtschaftlichkeit!$Q$5/Wirtschaftlichkeit!$Q$7</f>
        <v>9.7214783083577494</v>
      </c>
      <c r="DJ18" s="284">
        <f t="shared" si="33"/>
        <v>709.28737897079577</v>
      </c>
      <c r="DL18" s="222">
        <v>949</v>
      </c>
      <c r="DM18" s="225">
        <f>IF($C18&gt;=Wirtschaftlichkeit!$R$8,Wirtschaftlichkeit!$R$8,IF(AND($C18&lt;=Wirtschaftlichkeit!$R$8,$C18&gt;=Wirtschaftlichkeit!$R$8*Eingabemaske!$B$18),$C18,"0"))</f>
        <v>21.23199</v>
      </c>
      <c r="DN18" s="222">
        <v>949</v>
      </c>
      <c r="DO18" s="224">
        <f t="shared" si="34"/>
        <v>1549.104165</v>
      </c>
      <c r="DP18" s="222">
        <v>949</v>
      </c>
      <c r="DQ18" s="226">
        <f t="shared" si="35"/>
        <v>21.23199</v>
      </c>
      <c r="DR18" s="312">
        <v>949</v>
      </c>
      <c r="DS18" s="286">
        <f>DM18*Wirtschaftlichkeit!$R$5/Wirtschaftlichkeit!$R$7</f>
        <v>9.8498458905382638</v>
      </c>
      <c r="DT18" s="284">
        <f t="shared" si="36"/>
        <v>718.65318764943652</v>
      </c>
      <c r="DV18" s="222">
        <v>949</v>
      </c>
      <c r="DW18" s="225">
        <f>IF($C18&gt;=Wirtschaftlichkeit!$S$8,Wirtschaftlichkeit!$S$8,IF(AND($C18&lt;=Wirtschaftlichkeit!$S$8,$C18&gt;=Wirtschaftlichkeit!$S$8*Eingabemaske!$B$18),$C18,"0"))</f>
        <v>21.23199</v>
      </c>
      <c r="DX18" s="222">
        <v>949</v>
      </c>
      <c r="DY18" s="224">
        <f t="shared" si="37"/>
        <v>1549.104165</v>
      </c>
      <c r="DZ18" s="222">
        <v>949</v>
      </c>
      <c r="EA18" s="226">
        <f t="shared" si="38"/>
        <v>21.23199</v>
      </c>
      <c r="EB18" s="312">
        <v>949</v>
      </c>
      <c r="EC18" s="286">
        <f>DW18*Wirtschaftlichkeit!$S$5/Wirtschaftlichkeit!$S$7</f>
        <v>9.969910832442352</v>
      </c>
      <c r="ED18" s="284">
        <f t="shared" si="39"/>
        <v>727.41322858644264</v>
      </c>
      <c r="EF18" s="222">
        <v>949</v>
      </c>
      <c r="EG18" s="225">
        <f>IF($C18&gt;=Wirtschaftlichkeit!$T$8,Wirtschaftlichkeit!$T$8,IF(AND($C18&lt;=Wirtschaftlichkeit!$T$8,$C18&gt;=Wirtschaftlichkeit!$T$8*Eingabemaske!$B$18),$C18,"0"))</f>
        <v>21.23199</v>
      </c>
      <c r="EH18" s="222">
        <v>949</v>
      </c>
      <c r="EI18" s="224">
        <f t="shared" si="40"/>
        <v>1549.104165</v>
      </c>
      <c r="EJ18" s="222">
        <v>949</v>
      </c>
      <c r="EK18" s="226">
        <f t="shared" si="41"/>
        <v>21.23199</v>
      </c>
      <c r="EL18" s="312">
        <v>949</v>
      </c>
      <c r="EM18" s="286">
        <f>EG18*Wirtschaftlichkeit!$T$5/Wirtschaftlichkeit!$T$7</f>
        <v>10.082801101237131</v>
      </c>
      <c r="EN18" s="284">
        <f t="shared" si="42"/>
        <v>735.64979923186797</v>
      </c>
      <c r="EP18" s="222">
        <v>949</v>
      </c>
      <c r="EQ18" s="225">
        <f>IF($C18&gt;=Wirtschaftlichkeit!$U$8,Wirtschaftlichkeit!$U$8,IF(AND($C18&lt;=Wirtschaftlichkeit!$U$8,$C18&gt;=Wirtschaftlichkeit!$U$8*Eingabemaske!$B$18),$C18,"0"))</f>
        <v>21.23199</v>
      </c>
      <c r="ER18" s="222">
        <v>949</v>
      </c>
      <c r="ES18" s="224">
        <f t="shared" si="43"/>
        <v>1549.104165</v>
      </c>
      <c r="ET18" s="222">
        <v>949</v>
      </c>
      <c r="EU18" s="226">
        <f t="shared" si="44"/>
        <v>21.23199</v>
      </c>
      <c r="EV18" s="312">
        <v>949</v>
      </c>
      <c r="EW18" s="286">
        <f>EQ18*Wirtschaftlichkeit!$U$5/Wirtschaftlichkeit!$U$7</f>
        <v>10.189423181202937</v>
      </c>
      <c r="EX18" s="284">
        <f t="shared" si="45"/>
        <v>743.42903745475667</v>
      </c>
      <c r="EZ18" s="222">
        <v>949</v>
      </c>
      <c r="FA18" s="225">
        <f>IF($C18&gt;=Wirtschaftlichkeit!$V$8,Wirtschaftlichkeit!$V$8,IF(AND($C18&lt;=Wirtschaftlichkeit!$V$8,$C18&gt;=Wirtschaftlichkeit!$V$8*Eingabemaske!$B$18),$C18,"0"))</f>
        <v>21.23199</v>
      </c>
      <c r="FB18" s="222">
        <v>949</v>
      </c>
      <c r="FC18" s="224">
        <f t="shared" si="46"/>
        <v>1549.104165</v>
      </c>
      <c r="FD18" s="222">
        <v>949</v>
      </c>
      <c r="FE18" s="226">
        <f t="shared" si="47"/>
        <v>21.23199</v>
      </c>
      <c r="FF18" s="312">
        <v>949</v>
      </c>
      <c r="FG18" s="286">
        <f>FA18*Wirtschaftlichkeit!$V$5/Wirtschaftlichkeit!$V$7</f>
        <v>10.290517195660188</v>
      </c>
      <c r="FH18" s="284">
        <f t="shared" si="48"/>
        <v>750.80494328611303</v>
      </c>
      <c r="FJ18" s="222">
        <v>949</v>
      </c>
      <c r="FK18" s="225">
        <f>IF($C18&gt;=Wirtschaftlichkeit!$W$8,Wirtschaftlichkeit!$W$8,IF(AND($C18&lt;=Wirtschaftlichkeit!$W$8,$C18&gt;=Wirtschaftlichkeit!$W$8*Eingabemaske!$B$18),$C18,"0"))</f>
        <v>21.23199</v>
      </c>
      <c r="FL18" s="222">
        <v>949</v>
      </c>
      <c r="FM18" s="224">
        <f t="shared" si="49"/>
        <v>1549.104165</v>
      </c>
      <c r="FN18" s="222">
        <v>949</v>
      </c>
      <c r="FO18" s="226">
        <f t="shared" si="50"/>
        <v>21.23199</v>
      </c>
      <c r="FP18" s="312">
        <v>949</v>
      </c>
      <c r="FQ18" s="286">
        <f>FK18*Wirtschaftlichkeit!$W$5/Wirtschaftlichkeit!$W$7</f>
        <v>10.386695770520026</v>
      </c>
      <c r="FR18" s="284">
        <f t="shared" si="51"/>
        <v>757.82221443682181</v>
      </c>
      <c r="FT18" s="222">
        <v>949</v>
      </c>
      <c r="FU18" s="225">
        <f>IF($C18&gt;=Wirtschaftlichkeit!$X$8,Wirtschaftlichkeit!$X$8,IF(AND($C18&lt;=Wirtschaftlichkeit!$X$8,$C18&gt;=Wirtschaftlichkeit!$X$8*Eingabemaske!$B$18),$C18,"0"))</f>
        <v>21.23199</v>
      </c>
      <c r="FV18" s="222">
        <v>949</v>
      </c>
      <c r="FW18" s="224">
        <f t="shared" si="52"/>
        <v>1549.104165</v>
      </c>
      <c r="FX18" s="222">
        <v>949</v>
      </c>
      <c r="FY18" s="226">
        <f t="shared" si="53"/>
        <v>21.23199</v>
      </c>
      <c r="FZ18" s="312">
        <v>949</v>
      </c>
      <c r="GA18" s="286">
        <f>FU18*Wirtschaftlichkeit!$X$5/Wirtschaftlichkeit!$X$7</f>
        <v>10.478472097657244</v>
      </c>
      <c r="GB18" s="284">
        <f t="shared" si="54"/>
        <v>764.51829382536084</v>
      </c>
      <c r="GD18" s="222">
        <v>949</v>
      </c>
      <c r="GE18" s="225">
        <f>IF($C18&gt;=Wirtschaftlichkeit!$Y$8,Wirtschaftlichkeit!$Y$8,IF(AND($C18&lt;=Wirtschaftlichkeit!$Y$8,$C18&gt;=Wirtschaftlichkeit!$Y$8*Eingabemaske!$B$18),$C18,"0"))</f>
        <v>21.23199</v>
      </c>
      <c r="GF18" s="222">
        <v>949</v>
      </c>
      <c r="GG18" s="224">
        <f t="shared" si="55"/>
        <v>1549.104165</v>
      </c>
      <c r="GH18" s="222">
        <v>949</v>
      </c>
      <c r="GI18" s="226">
        <f t="shared" si="56"/>
        <v>21.23199</v>
      </c>
      <c r="GJ18" s="312">
        <v>949</v>
      </c>
      <c r="GK18" s="286">
        <f>GE18*Wirtschaftlichkeit!$Y$5/Wirtschaftlichkeit!$Y$7</f>
        <v>10.566280625639557</v>
      </c>
      <c r="GL18" s="284">
        <f t="shared" si="57"/>
        <v>770.92487919111886</v>
      </c>
      <c r="GN18" s="222">
        <v>949</v>
      </c>
      <c r="GO18" s="225">
        <f>IF($C18&gt;=Wirtschaftlichkeit!$Z$8,Wirtschaftlichkeit!$Z$8,IF(AND($C18&lt;=Wirtschaftlichkeit!$Z$8,$C18&gt;=Wirtschaftlichkeit!$Z$8*Eingabemaske!$B$18),$C18,"0"))</f>
        <v>21.23199</v>
      </c>
      <c r="GP18" s="222">
        <v>949</v>
      </c>
      <c r="GQ18" s="224">
        <f t="shared" si="58"/>
        <v>1549.104165</v>
      </c>
      <c r="GR18" s="222">
        <v>949</v>
      </c>
      <c r="GS18" s="226">
        <f t="shared" si="59"/>
        <v>21.23199</v>
      </c>
      <c r="GT18" s="312">
        <v>949</v>
      </c>
      <c r="GU18" s="286">
        <f>GO18*Wirtschaftlichkeit!$Z$5/Wirtschaftlichkeit!$Z$7</f>
        <v>10.650492596313899</v>
      </c>
      <c r="GV18" s="284">
        <f t="shared" si="60"/>
        <v>777.06905665703164</v>
      </c>
      <c r="GW18" s="266"/>
      <c r="GX18" s="258">
        <v>949</v>
      </c>
      <c r="GY18" s="270">
        <f>IF(Berechnung_Diagramme!$C$28=Berechnungen_Lastgang!$F$2,Berechnungen_Lastgang!G18,IF(Berechnung_Diagramme!$C$28=Berechnungen_Lastgang!$P$2,Berechnungen_Lastgang!Q18,IF(Berechnung_Diagramme!$C$28=Berechnungen_Lastgang!$Z$2,Berechnungen_Lastgang!AA18,IF(Berechnung_Diagramme!$C$28=Berechnungen_Lastgang!$AJ$2,Berechnungen_Lastgang!AK18,IF(Berechnung_Diagramme!$C$28=Berechnungen_Lastgang!$AT$2,Berechnungen_Lastgang!AU18,IF(Berechnung_Diagramme!$C$28=Berechnungen_Lastgang!$BD$2,Berechnungen_Lastgang!BE18,IF(Berechnung_Diagramme!$C$28=Berechnungen_Lastgang!$BN$2,Berechnungen_Lastgang!BO18,IF(Berechnung_Diagramme!$C$28=Berechnungen_Lastgang!$BX$2,Berechnungen_Lastgang!BY18,IF(Berechnung_Diagramme!$C$28=Berechnungen_Lastgang!$CH$2,Berechnungen_Lastgang!CI18,IF(Berechnung_Diagramme!$C$28=Berechnungen_Lastgang!$CR$2,Berechnungen_Lastgang!CS18,IF(Berechnung_Diagramme!$C$28=Berechnungen_Lastgang!$DB$2,Berechnungen_Lastgang!DC18,IF(Berechnung_Diagramme!$C$28=Berechnungen_Lastgang!$DL$2,Berechnungen_Lastgang!DM18,IF(Berechnung_Diagramme!$C$28=Berechnungen_Lastgang!$DV$2,Berechnungen_Lastgang!DW18,IF(Berechnung_Diagramme!$C$28=Berechnungen_Lastgang!$EF$2,Berechnungen_Lastgang!EG18,IF(Berechnung_Diagramme!$C$28=Berechnungen_Lastgang!$EP$2,Berechnungen_Lastgang!EQ18,IF(Berechnung_Diagramme!$C$28=Berechnungen_Lastgang!$EZ$2,Berechnungen_Lastgang!FA18,IF(Berechnung_Diagramme!$C$28=Berechnungen_Lastgang!$FJ$2,Berechnungen_Lastgang!FK18,IF(Berechnung_Diagramme!$C$28=Berechnungen_Lastgang!$FT$2,Berechnungen_Lastgang!FU18,IF(Berechnung_Diagramme!$C$28=Berechnungen_Lastgang!$GD$2,Berechnungen_Lastgang!GE18,IF(Berechnung_Diagramme!$C$28=Berechnungen_Lastgang!$GN$2,Berechnungen_Lastgang!GO18,""))))))))))))))))))))</f>
        <v>20.966443256074175</v>
      </c>
    </row>
    <row r="19" spans="2:207" ht="14.45" x14ac:dyDescent="0.3">
      <c r="B19" s="64">
        <v>1022</v>
      </c>
      <c r="C19" s="67">
        <f>C18+((C20-C18)/(B20-B18))*(B19-B18)</f>
        <v>21.209220000000002</v>
      </c>
      <c r="D19" s="66">
        <f t="shared" si="0"/>
        <v>1547.441955</v>
      </c>
      <c r="F19" s="64">
        <v>1022</v>
      </c>
      <c r="G19" s="225">
        <f>IF($C19&gt;=Wirtschaftlichkeit!$G$8,Wirtschaftlichkeit!$G$8,IF(AND($C19&lt;=Wirtschaftlichkeit!$G$8,$C19&gt;=Wirtschaftlichkeit!$G$8*Eingabemaske!$B$18),$C19,"0"))</f>
        <v>2.8333333333333335</v>
      </c>
      <c r="H19" s="64">
        <v>1022</v>
      </c>
      <c r="I19" s="66">
        <f t="shared" si="1"/>
        <v>206.83333333333334</v>
      </c>
      <c r="J19" s="64">
        <v>1022</v>
      </c>
      <c r="K19" s="71">
        <f t="shared" si="2"/>
        <v>2.8333333333333335</v>
      </c>
      <c r="L19" s="312">
        <v>1022</v>
      </c>
      <c r="M19" s="286">
        <f>G19*Wirtschaftlichkeit!$G$5/Wirtschaftlichkeit!$G$7</f>
        <v>1</v>
      </c>
      <c r="N19" s="284">
        <f t="shared" si="3"/>
        <v>73</v>
      </c>
      <c r="P19" s="222">
        <v>1022</v>
      </c>
      <c r="Q19" s="225">
        <f>IF($C19&gt;=Wirtschaftlichkeit!$H$8,Wirtschaftlichkeit!$H$8,IF(AND($C19&lt;=Wirtschaftlichkeit!$H$8,$C19&gt;=Wirtschaftlichkeit!$H$8*Eingabemaske!$B$18),$C19,"0"))</f>
        <v>5.5876288659793811</v>
      </c>
      <c r="R19" s="222">
        <v>1022</v>
      </c>
      <c r="S19" s="224">
        <f t="shared" si="4"/>
        <v>407.89690721649481</v>
      </c>
      <c r="T19" s="222">
        <v>1022</v>
      </c>
      <c r="U19" s="226">
        <f t="shared" si="5"/>
        <v>5.5876288659793811</v>
      </c>
      <c r="V19" s="312">
        <v>1022</v>
      </c>
      <c r="W19" s="286">
        <f>Q19*Wirtschaftlichkeit!$H$5/Wirtschaftlichkeit!$H$7</f>
        <v>2</v>
      </c>
      <c r="X19" s="284">
        <f t="shared" si="6"/>
        <v>146</v>
      </c>
      <c r="Z19" s="222">
        <v>1022</v>
      </c>
      <c r="AA19" s="225">
        <f>IF($C19&gt;=Wirtschaftlichkeit!$I$8,Wirtschaftlichkeit!$I$8,IF(AND($C19&lt;=Wirtschaftlichkeit!$I$8,$C19&gt;=Wirtschaftlichkeit!$I$8*Eingabemaske!$B$18),$C19,"0"))</f>
        <v>8.2471643149712612</v>
      </c>
      <c r="AB19" s="222">
        <v>1022</v>
      </c>
      <c r="AC19" s="224">
        <f t="shared" si="7"/>
        <v>602.04299499290209</v>
      </c>
      <c r="AD19" s="222">
        <v>1022</v>
      </c>
      <c r="AE19" s="226">
        <f t="shared" si="8"/>
        <v>8.2471643149712612</v>
      </c>
      <c r="AF19" s="312">
        <v>1022</v>
      </c>
      <c r="AG19" s="286">
        <f>AA19*Wirtschaftlichkeit!$I$5/Wirtschaftlichkeit!$I$7</f>
        <v>3.0000000000000004</v>
      </c>
      <c r="AH19" s="284">
        <f t="shared" si="9"/>
        <v>219.00000000000003</v>
      </c>
      <c r="AJ19" s="222">
        <v>1022</v>
      </c>
      <c r="AK19" s="225">
        <f>IF($C19&gt;=Wirtschaftlichkeit!$J$8,Wirtschaftlichkeit!$J$8,IF(AND($C19&lt;=Wirtschaftlichkeit!$J$8,$C19&gt;=Wirtschaftlichkeit!$J$8*Eingabemaske!$B$18),$C19,"0"))</f>
        <v>10.537455322965799</v>
      </c>
      <c r="AL19" s="222">
        <v>1022</v>
      </c>
      <c r="AM19" s="224">
        <f t="shared" si="10"/>
        <v>769.23423857650334</v>
      </c>
      <c r="AN19" s="222">
        <v>1022</v>
      </c>
      <c r="AO19" s="226">
        <f t="shared" si="11"/>
        <v>10.537455322965799</v>
      </c>
      <c r="AP19" s="312">
        <v>1022</v>
      </c>
      <c r="AQ19" s="286">
        <f>AK19*Wirtschaftlichkeit!$J$5/Wirtschaftlichkeit!$J$7</f>
        <v>4</v>
      </c>
      <c r="AR19" s="284">
        <f t="shared" si="12"/>
        <v>292</v>
      </c>
      <c r="AT19" s="222">
        <v>1022</v>
      </c>
      <c r="AU19" s="225">
        <f>IF($C19&gt;=Wirtschaftlichkeit!$K$8,Wirtschaftlichkeit!$K$8,IF(AND($C19&lt;=Wirtschaftlichkeit!$K$8,$C19&gt;=Wirtschaftlichkeit!$K$8*Eingabemaske!$B$18),$C19,"0"))</f>
        <v>12.739122166763016</v>
      </c>
      <c r="AV19" s="222">
        <v>1022</v>
      </c>
      <c r="AW19" s="224">
        <f t="shared" si="13"/>
        <v>929.95591817370018</v>
      </c>
      <c r="AX19" s="222">
        <v>1022</v>
      </c>
      <c r="AY19" s="226">
        <f t="shared" si="14"/>
        <v>12.739122166763016</v>
      </c>
      <c r="AZ19" s="312">
        <v>1022</v>
      </c>
      <c r="BA19" s="286">
        <f>AU19*Wirtschaftlichkeit!$K$5/Wirtschaftlichkeit!$K$7</f>
        <v>5</v>
      </c>
      <c r="BB19" s="284">
        <f t="shared" si="15"/>
        <v>365</v>
      </c>
      <c r="BD19" s="222">
        <v>1022</v>
      </c>
      <c r="BE19" s="225">
        <f>IF($C19&gt;=Wirtschaftlichkeit!$L$8,Wirtschaftlichkeit!$L$8,IF(AND($C19&lt;=Wirtschaftlichkeit!$L$8,$C19&gt;=Wirtschaftlichkeit!$L$8*Eingabemaske!$B$18),$C19,"0"))</f>
        <v>14.87189090675227</v>
      </c>
      <c r="BF19" s="222">
        <v>1022</v>
      </c>
      <c r="BG19" s="224">
        <f t="shared" si="16"/>
        <v>1085.6480361929157</v>
      </c>
      <c r="BH19" s="222">
        <v>1022</v>
      </c>
      <c r="BI19" s="226">
        <f t="shared" si="17"/>
        <v>14.87189090675227</v>
      </c>
      <c r="BJ19" s="312">
        <v>1022</v>
      </c>
      <c r="BK19" s="286">
        <f>BE19*Wirtschaftlichkeit!$L$5/Wirtschaftlichkeit!$L$7</f>
        <v>6</v>
      </c>
      <c r="BL19" s="284">
        <f t="shared" si="18"/>
        <v>438</v>
      </c>
      <c r="BN19" s="222">
        <v>1022</v>
      </c>
      <c r="BO19" s="225">
        <f>IF($C19&gt;=Wirtschaftlichkeit!$M$8,Wirtschaftlichkeit!$M$8,IF(AND($C19&lt;=Wirtschaftlichkeit!$M$8,$C19&gt;=Wirtschaftlichkeit!$M$8*Eingabemaske!$B$18),$C19,"0"))</f>
        <v>16.948500863015312</v>
      </c>
      <c r="BP19" s="222">
        <v>1022</v>
      </c>
      <c r="BQ19" s="224">
        <f t="shared" si="19"/>
        <v>1237.2405630001178</v>
      </c>
      <c r="BR19" s="222">
        <v>1022</v>
      </c>
      <c r="BS19" s="226">
        <f t="shared" si="20"/>
        <v>16.948500863015312</v>
      </c>
      <c r="BT19" s="312">
        <v>1022</v>
      </c>
      <c r="BU19" s="286">
        <f>BO19*Wirtschaftlichkeit!$M$5/Wirtschaftlichkeit!$M$7</f>
        <v>7</v>
      </c>
      <c r="BV19" s="284">
        <f t="shared" si="21"/>
        <v>511</v>
      </c>
      <c r="BX19" s="222">
        <v>1022</v>
      </c>
      <c r="BY19" s="225">
        <f>IF($C19&gt;=Wirtschaftlichkeit!$N$8,Wirtschaftlichkeit!$N$8,IF(AND($C19&lt;=Wirtschaftlichkeit!$N$8,$C19&gt;=Wirtschaftlichkeit!$N$8*Eingabemaske!$B$18),$C19,"0"))</f>
        <v>18.977838419132468</v>
      </c>
      <c r="BZ19" s="222">
        <v>1022</v>
      </c>
      <c r="CA19" s="224">
        <f t="shared" si="22"/>
        <v>1385.3822045966701</v>
      </c>
      <c r="CB19" s="222">
        <v>1022</v>
      </c>
      <c r="CC19" s="226">
        <f t="shared" si="23"/>
        <v>18.977838419132468</v>
      </c>
      <c r="CD19" s="312">
        <v>1022</v>
      </c>
      <c r="CE19" s="286">
        <f>BY19*Wirtschaftlichkeit!$N$5/Wirtschaftlichkeit!$N$7</f>
        <v>8</v>
      </c>
      <c r="CF19" s="284">
        <f t="shared" si="24"/>
        <v>584</v>
      </c>
      <c r="CH19" s="222">
        <v>1022</v>
      </c>
      <c r="CI19" s="225">
        <f>IF($C19&gt;=Wirtschaftlichkeit!$O$8,Wirtschaftlichkeit!$O$8,IF(AND($C19&lt;=Wirtschaftlichkeit!$O$8,$C19&gt;=Wirtschaftlichkeit!$O$8*Eingabemaske!$B$18),$C19,"0"))</f>
        <v>20.966443256074175</v>
      </c>
      <c r="CJ19" s="222">
        <v>1022</v>
      </c>
      <c r="CK19" s="224">
        <f t="shared" si="25"/>
        <v>1530.5503576934148</v>
      </c>
      <c r="CL19" s="222">
        <v>1022</v>
      </c>
      <c r="CM19" s="226">
        <f t="shared" si="26"/>
        <v>20.966443256074175</v>
      </c>
      <c r="CN19" s="312">
        <v>1022</v>
      </c>
      <c r="CO19" s="286">
        <f>CI19*Wirtschaftlichkeit!$O$5/Wirtschaftlichkeit!$O$7</f>
        <v>9</v>
      </c>
      <c r="CP19" s="284">
        <f t="shared" si="27"/>
        <v>657</v>
      </c>
      <c r="CR19" s="222">
        <v>1022</v>
      </c>
      <c r="CS19" s="225">
        <f>IF($C19&gt;=Wirtschaftlichkeit!$P$8,Wirtschaftlichkeit!$P$8,IF(AND($C19&lt;=Wirtschaftlichkeit!$P$8,$C19&gt;=Wirtschaftlichkeit!$P$8*Eingabemaske!$B$18),$C19,"0"))</f>
        <v>21.209220000000002</v>
      </c>
      <c r="CT19" s="222">
        <v>1022</v>
      </c>
      <c r="CU19" s="224">
        <f t="shared" si="28"/>
        <v>1547.441955</v>
      </c>
      <c r="CV19" s="222">
        <v>1022</v>
      </c>
      <c r="CW19" s="226">
        <f t="shared" si="29"/>
        <v>21.209220000000002</v>
      </c>
      <c r="CX19" s="312">
        <v>1022</v>
      </c>
      <c r="CY19" s="286">
        <f>CS19*Wirtschaftlichkeit!$P$5/Wirtschaftlichkeit!$P$7</f>
        <v>9.2538601640800255</v>
      </c>
      <c r="CZ19" s="284">
        <f t="shared" si="30"/>
        <v>675.16916999307921</v>
      </c>
      <c r="DB19" s="222">
        <v>1022</v>
      </c>
      <c r="DC19" s="225">
        <f>IF($C19&gt;=Wirtschaftlichkeit!$Q$8,Wirtschaftlichkeit!$Q$8,IF(AND($C19&lt;=Wirtschaftlichkeit!$Q$8,$C19&gt;=Wirtschaftlichkeit!$Q$8*Eingabemaske!$B$18),$C19,"0"))</f>
        <v>21.209220000000002</v>
      </c>
      <c r="DD19" s="222">
        <v>1022</v>
      </c>
      <c r="DE19" s="224">
        <f t="shared" si="31"/>
        <v>1547.441955</v>
      </c>
      <c r="DF19" s="222">
        <v>1022</v>
      </c>
      <c r="DG19" s="226">
        <f t="shared" si="32"/>
        <v>21.209220000000002</v>
      </c>
      <c r="DH19" s="312">
        <v>1022</v>
      </c>
      <c r="DI19" s="286">
        <f>DC19*Wirtschaftlichkeit!$Q$5/Wirtschaftlichkeit!$Q$7</f>
        <v>9.7110526223489817</v>
      </c>
      <c r="DJ19" s="284">
        <f t="shared" si="33"/>
        <v>708.52630389215562</v>
      </c>
      <c r="DL19" s="222">
        <v>1022</v>
      </c>
      <c r="DM19" s="225">
        <f>IF($C19&gt;=Wirtschaftlichkeit!$R$8,Wirtschaftlichkeit!$R$8,IF(AND($C19&lt;=Wirtschaftlichkeit!$R$8,$C19&gt;=Wirtschaftlichkeit!$R$8*Eingabemaske!$B$18),$C19,"0"))</f>
        <v>21.209220000000002</v>
      </c>
      <c r="DN19" s="222">
        <v>1022</v>
      </c>
      <c r="DO19" s="224">
        <f t="shared" si="34"/>
        <v>1547.441955</v>
      </c>
      <c r="DP19" s="222">
        <v>1022</v>
      </c>
      <c r="DQ19" s="226">
        <f t="shared" si="35"/>
        <v>21.209220000000002</v>
      </c>
      <c r="DR19" s="312">
        <v>1022</v>
      </c>
      <c r="DS19" s="286">
        <f>DM19*Wirtschaftlichkeit!$R$5/Wirtschaftlichkeit!$R$7</f>
        <v>9.8392825382134212</v>
      </c>
      <c r="DT19" s="284">
        <f t="shared" si="36"/>
        <v>717.88206292972291</v>
      </c>
      <c r="DV19" s="222">
        <v>1022</v>
      </c>
      <c r="DW19" s="225">
        <f>IF($C19&gt;=Wirtschaftlichkeit!$S$8,Wirtschaftlichkeit!$S$8,IF(AND($C19&lt;=Wirtschaftlichkeit!$S$8,$C19&gt;=Wirtschaftlichkeit!$S$8*Eingabemaske!$B$18),$C19,"0"))</f>
        <v>21.209220000000002</v>
      </c>
      <c r="DX19" s="222">
        <v>1022</v>
      </c>
      <c r="DY19" s="224">
        <f t="shared" si="37"/>
        <v>1547.441955</v>
      </c>
      <c r="DZ19" s="222">
        <v>1022</v>
      </c>
      <c r="EA19" s="226">
        <f t="shared" si="38"/>
        <v>21.209220000000002</v>
      </c>
      <c r="EB19" s="312">
        <v>1022</v>
      </c>
      <c r="EC19" s="286">
        <f>DW19*Wirtschaftlichkeit!$S$5/Wirtschaftlichkeit!$S$7</f>
        <v>9.9592187178711455</v>
      </c>
      <c r="ED19" s="284">
        <f t="shared" si="39"/>
        <v>726.63270422274456</v>
      </c>
      <c r="EF19" s="222">
        <v>1022</v>
      </c>
      <c r="EG19" s="225">
        <f>IF($C19&gt;=Wirtschaftlichkeit!$T$8,Wirtschaftlichkeit!$T$8,IF(AND($C19&lt;=Wirtschaftlichkeit!$T$8,$C19&gt;=Wirtschaftlichkeit!$T$8*Eingabemaske!$B$18),$C19,"0"))</f>
        <v>21.209220000000002</v>
      </c>
      <c r="EH19" s="222">
        <v>1022</v>
      </c>
      <c r="EI19" s="224">
        <f t="shared" si="40"/>
        <v>1547.441955</v>
      </c>
      <c r="EJ19" s="222">
        <v>1022</v>
      </c>
      <c r="EK19" s="226">
        <f t="shared" si="41"/>
        <v>21.209220000000002</v>
      </c>
      <c r="EL19" s="312">
        <v>1022</v>
      </c>
      <c r="EM19" s="286">
        <f>EG19*Wirtschaftlichkeit!$T$5/Wirtschaftlichkeit!$T$7</f>
        <v>10.071987918814045</v>
      </c>
      <c r="EN19" s="284">
        <f t="shared" si="42"/>
        <v>734.86043691498253</v>
      </c>
      <c r="EP19" s="222">
        <v>1022</v>
      </c>
      <c r="EQ19" s="225">
        <f>IF($C19&gt;=Wirtschaftlichkeit!$U$8,Wirtschaftlichkeit!$U$8,IF(AND($C19&lt;=Wirtschaftlichkeit!$U$8,$C19&gt;=Wirtschaftlichkeit!$U$8*Eingabemaske!$B$18),$C19,"0"))</f>
        <v>21.209220000000002</v>
      </c>
      <c r="ER19" s="222">
        <v>1022</v>
      </c>
      <c r="ES19" s="224">
        <f t="shared" si="43"/>
        <v>1547.441955</v>
      </c>
      <c r="ET19" s="222">
        <v>1022</v>
      </c>
      <c r="EU19" s="226">
        <f t="shared" si="44"/>
        <v>21.209220000000002</v>
      </c>
      <c r="EV19" s="312">
        <v>1022</v>
      </c>
      <c r="EW19" s="286">
        <f>EQ19*Wirtschaftlichkeit!$U$5/Wirtschaftlichkeit!$U$7</f>
        <v>10.178495653173959</v>
      </c>
      <c r="EX19" s="284">
        <f t="shared" si="45"/>
        <v>742.63132790864131</v>
      </c>
      <c r="EZ19" s="222">
        <v>1022</v>
      </c>
      <c r="FA19" s="225">
        <f>IF($C19&gt;=Wirtschaftlichkeit!$V$8,Wirtschaftlichkeit!$V$8,IF(AND($C19&lt;=Wirtschaftlichkeit!$V$8,$C19&gt;=Wirtschaftlichkeit!$V$8*Eingabemaske!$B$18),$C19,"0"))</f>
        <v>21.209220000000002</v>
      </c>
      <c r="FB19" s="222">
        <v>1022</v>
      </c>
      <c r="FC19" s="224">
        <f t="shared" si="46"/>
        <v>1547.441955</v>
      </c>
      <c r="FD19" s="222">
        <v>1022</v>
      </c>
      <c r="FE19" s="226">
        <f t="shared" si="47"/>
        <v>21.209220000000002</v>
      </c>
      <c r="FF19" s="312">
        <v>1022</v>
      </c>
      <c r="FG19" s="286">
        <f>FA19*Wirtschaftlichkeit!$V$5/Wirtschaftlichkeit!$V$7</f>
        <v>10.279481250534689</v>
      </c>
      <c r="FH19" s="284">
        <f t="shared" si="48"/>
        <v>749.99931929195145</v>
      </c>
      <c r="FJ19" s="222">
        <v>1022</v>
      </c>
      <c r="FK19" s="225">
        <f>IF($C19&gt;=Wirtschaftlichkeit!$W$8,Wirtschaftlichkeit!$W$8,IF(AND($C19&lt;=Wirtschaftlichkeit!$W$8,$C19&gt;=Wirtschaftlichkeit!$W$8*Eingabemaske!$B$18),$C19,"0"))</f>
        <v>21.209220000000002</v>
      </c>
      <c r="FL19" s="222">
        <v>1022</v>
      </c>
      <c r="FM19" s="224">
        <f t="shared" si="49"/>
        <v>1547.441955</v>
      </c>
      <c r="FN19" s="222">
        <v>1022</v>
      </c>
      <c r="FO19" s="226">
        <f t="shared" si="50"/>
        <v>21.209220000000002</v>
      </c>
      <c r="FP19" s="312">
        <v>1022</v>
      </c>
      <c r="FQ19" s="286">
        <f>FK19*Wirtschaftlichkeit!$W$5/Wirtschaftlichkeit!$W$7</f>
        <v>10.375556679803861</v>
      </c>
      <c r="FR19" s="284">
        <f t="shared" si="51"/>
        <v>757.00906081454173</v>
      </c>
      <c r="FT19" s="222">
        <v>1022</v>
      </c>
      <c r="FU19" s="225">
        <f>IF($C19&gt;=Wirtschaftlichkeit!$X$8,Wirtschaftlichkeit!$X$8,IF(AND($C19&lt;=Wirtschaftlichkeit!$X$8,$C19&gt;=Wirtschaftlichkeit!$X$8*Eingabemaske!$B$18),$C19,"0"))</f>
        <v>21.209220000000002</v>
      </c>
      <c r="FV19" s="222">
        <v>1022</v>
      </c>
      <c r="FW19" s="224">
        <f t="shared" si="52"/>
        <v>1547.441955</v>
      </c>
      <c r="FX19" s="222">
        <v>1022</v>
      </c>
      <c r="FY19" s="226">
        <f t="shared" si="53"/>
        <v>21.209220000000002</v>
      </c>
      <c r="FZ19" s="312">
        <v>1022</v>
      </c>
      <c r="GA19" s="286">
        <f>FU19*Wirtschaftlichkeit!$X$5/Wirtschaftlichkeit!$X$7</f>
        <v>10.467234582489629</v>
      </c>
      <c r="GB19" s="284">
        <f t="shared" si="54"/>
        <v>763.69795521812489</v>
      </c>
      <c r="GD19" s="222">
        <v>1022</v>
      </c>
      <c r="GE19" s="225">
        <f>IF($C19&gt;=Wirtschaftlichkeit!$Y$8,Wirtschaftlichkeit!$Y$8,IF(AND($C19&lt;=Wirtschaftlichkeit!$Y$8,$C19&gt;=Wirtschaftlichkeit!$Y$8*Eingabemaske!$B$18),$C19,"0"))</f>
        <v>21.209220000000002</v>
      </c>
      <c r="GF19" s="222">
        <v>1022</v>
      </c>
      <c r="GG19" s="224">
        <f t="shared" si="55"/>
        <v>1547.441955</v>
      </c>
      <c r="GH19" s="222">
        <v>1022</v>
      </c>
      <c r="GI19" s="226">
        <f t="shared" si="56"/>
        <v>21.209220000000002</v>
      </c>
      <c r="GJ19" s="312">
        <v>1022</v>
      </c>
      <c r="GK19" s="286">
        <f>GE19*Wirtschaftlichkeit!$Y$5/Wirtschaftlichkeit!$Y$7</f>
        <v>10.554948941240413</v>
      </c>
      <c r="GL19" s="284">
        <f t="shared" si="57"/>
        <v>770.0976662299812</v>
      </c>
      <c r="GN19" s="222">
        <v>1022</v>
      </c>
      <c r="GO19" s="225">
        <f>IF($C19&gt;=Wirtschaftlichkeit!$Z$8,Wirtschaftlichkeit!$Z$8,IF(AND($C19&lt;=Wirtschaftlichkeit!$Z$8,$C19&gt;=Wirtschaftlichkeit!$Z$8*Eingabemaske!$B$18),$C19,"0"))</f>
        <v>21.209220000000002</v>
      </c>
      <c r="GP19" s="222">
        <v>1022</v>
      </c>
      <c r="GQ19" s="224">
        <f t="shared" si="58"/>
        <v>1547.441955</v>
      </c>
      <c r="GR19" s="222">
        <v>1022</v>
      </c>
      <c r="GS19" s="226">
        <f t="shared" si="59"/>
        <v>21.209220000000002</v>
      </c>
      <c r="GT19" s="312">
        <v>1022</v>
      </c>
      <c r="GU19" s="286">
        <f>GO19*Wirtschaftlichkeit!$Z$5/Wirtschaftlichkeit!$Z$7</f>
        <v>10.639070599769157</v>
      </c>
      <c r="GV19" s="284">
        <f t="shared" si="60"/>
        <v>776.23525090926523</v>
      </c>
      <c r="GW19" s="266"/>
      <c r="GX19" s="258">
        <v>1022</v>
      </c>
      <c r="GY19" s="270">
        <f>IF(Berechnung_Diagramme!$C$28=Berechnungen_Lastgang!$F$2,Berechnungen_Lastgang!G19,IF(Berechnung_Diagramme!$C$28=Berechnungen_Lastgang!$P$2,Berechnungen_Lastgang!Q19,IF(Berechnung_Diagramme!$C$28=Berechnungen_Lastgang!$Z$2,Berechnungen_Lastgang!AA19,IF(Berechnung_Diagramme!$C$28=Berechnungen_Lastgang!$AJ$2,Berechnungen_Lastgang!AK19,IF(Berechnung_Diagramme!$C$28=Berechnungen_Lastgang!$AT$2,Berechnungen_Lastgang!AU19,IF(Berechnung_Diagramme!$C$28=Berechnungen_Lastgang!$BD$2,Berechnungen_Lastgang!BE19,IF(Berechnung_Diagramme!$C$28=Berechnungen_Lastgang!$BN$2,Berechnungen_Lastgang!BO19,IF(Berechnung_Diagramme!$C$28=Berechnungen_Lastgang!$BX$2,Berechnungen_Lastgang!BY19,IF(Berechnung_Diagramme!$C$28=Berechnungen_Lastgang!$CH$2,Berechnungen_Lastgang!CI19,IF(Berechnung_Diagramme!$C$28=Berechnungen_Lastgang!$CR$2,Berechnungen_Lastgang!CS19,IF(Berechnung_Diagramme!$C$28=Berechnungen_Lastgang!$DB$2,Berechnungen_Lastgang!DC19,IF(Berechnung_Diagramme!$C$28=Berechnungen_Lastgang!$DL$2,Berechnungen_Lastgang!DM19,IF(Berechnung_Diagramme!$C$28=Berechnungen_Lastgang!$DV$2,Berechnungen_Lastgang!DW19,IF(Berechnung_Diagramme!$C$28=Berechnungen_Lastgang!$EF$2,Berechnungen_Lastgang!EG19,IF(Berechnung_Diagramme!$C$28=Berechnungen_Lastgang!$EP$2,Berechnungen_Lastgang!EQ19,IF(Berechnung_Diagramme!$C$28=Berechnungen_Lastgang!$EZ$2,Berechnungen_Lastgang!FA19,IF(Berechnung_Diagramme!$C$28=Berechnungen_Lastgang!$FJ$2,Berechnungen_Lastgang!FK19,IF(Berechnung_Diagramme!$C$28=Berechnungen_Lastgang!$FT$2,Berechnungen_Lastgang!FU19,IF(Berechnung_Diagramme!$C$28=Berechnungen_Lastgang!$GD$2,Berechnungen_Lastgang!GE19,IF(Berechnung_Diagramme!$C$28=Berechnungen_Lastgang!$GN$2,Berechnungen_Lastgang!GO19,""))))))))))))))))))))</f>
        <v>20.966443256074175</v>
      </c>
    </row>
    <row r="20" spans="2:207" ht="14.45" x14ac:dyDescent="0.3">
      <c r="B20" s="64">
        <v>1095</v>
      </c>
      <c r="C20" s="67">
        <f>(C15+C25)/2</f>
        <v>21.186450000000001</v>
      </c>
      <c r="D20" s="66">
        <f t="shared" si="0"/>
        <v>1545.779745</v>
      </c>
      <c r="F20" s="64">
        <v>1095</v>
      </c>
      <c r="G20" s="225">
        <f>IF($C20&gt;=Wirtschaftlichkeit!$G$8,Wirtschaftlichkeit!$G$8,IF(AND($C20&lt;=Wirtschaftlichkeit!$G$8,$C20&gt;=Wirtschaftlichkeit!$G$8*Eingabemaske!$B$18),$C20,"0"))</f>
        <v>2.8333333333333335</v>
      </c>
      <c r="H20" s="64">
        <v>1095</v>
      </c>
      <c r="I20" s="66">
        <f t="shared" si="1"/>
        <v>206.83333333333334</v>
      </c>
      <c r="J20" s="64">
        <v>1095</v>
      </c>
      <c r="K20" s="71">
        <f t="shared" si="2"/>
        <v>2.8333333333333335</v>
      </c>
      <c r="L20" s="312">
        <v>1095</v>
      </c>
      <c r="M20" s="286">
        <f>G20*Wirtschaftlichkeit!$G$5/Wirtschaftlichkeit!$G$7</f>
        <v>1</v>
      </c>
      <c r="N20" s="284">
        <f t="shared" si="3"/>
        <v>73</v>
      </c>
      <c r="P20" s="222">
        <v>1095</v>
      </c>
      <c r="Q20" s="225">
        <f>IF($C20&gt;=Wirtschaftlichkeit!$H$8,Wirtschaftlichkeit!$H$8,IF(AND($C20&lt;=Wirtschaftlichkeit!$H$8,$C20&gt;=Wirtschaftlichkeit!$H$8*Eingabemaske!$B$18),$C20,"0"))</f>
        <v>5.5876288659793811</v>
      </c>
      <c r="R20" s="222">
        <v>1095</v>
      </c>
      <c r="S20" s="224">
        <f t="shared" si="4"/>
        <v>407.89690721649481</v>
      </c>
      <c r="T20" s="222">
        <v>1095</v>
      </c>
      <c r="U20" s="226">
        <f t="shared" si="5"/>
        <v>5.5876288659793811</v>
      </c>
      <c r="V20" s="312">
        <v>1095</v>
      </c>
      <c r="W20" s="286">
        <f>Q20*Wirtschaftlichkeit!$H$5/Wirtschaftlichkeit!$H$7</f>
        <v>2</v>
      </c>
      <c r="X20" s="284">
        <f t="shared" si="6"/>
        <v>146</v>
      </c>
      <c r="Z20" s="222">
        <v>1095</v>
      </c>
      <c r="AA20" s="225">
        <f>IF($C20&gt;=Wirtschaftlichkeit!$I$8,Wirtschaftlichkeit!$I$8,IF(AND($C20&lt;=Wirtschaftlichkeit!$I$8,$C20&gt;=Wirtschaftlichkeit!$I$8*Eingabemaske!$B$18),$C20,"0"))</f>
        <v>8.2471643149712612</v>
      </c>
      <c r="AB20" s="222">
        <v>1095</v>
      </c>
      <c r="AC20" s="224">
        <f t="shared" si="7"/>
        <v>602.04299499290209</v>
      </c>
      <c r="AD20" s="222">
        <v>1095</v>
      </c>
      <c r="AE20" s="226">
        <f t="shared" si="8"/>
        <v>8.2471643149712612</v>
      </c>
      <c r="AF20" s="312">
        <v>1095</v>
      </c>
      <c r="AG20" s="286">
        <f>AA20*Wirtschaftlichkeit!$I$5/Wirtschaftlichkeit!$I$7</f>
        <v>3.0000000000000004</v>
      </c>
      <c r="AH20" s="284">
        <f t="shared" si="9"/>
        <v>219.00000000000003</v>
      </c>
      <c r="AJ20" s="222">
        <v>1095</v>
      </c>
      <c r="AK20" s="225">
        <f>IF($C20&gt;=Wirtschaftlichkeit!$J$8,Wirtschaftlichkeit!$J$8,IF(AND($C20&lt;=Wirtschaftlichkeit!$J$8,$C20&gt;=Wirtschaftlichkeit!$J$8*Eingabemaske!$B$18),$C20,"0"))</f>
        <v>10.537455322965799</v>
      </c>
      <c r="AL20" s="222">
        <v>1095</v>
      </c>
      <c r="AM20" s="224">
        <f t="shared" si="10"/>
        <v>769.23423857650334</v>
      </c>
      <c r="AN20" s="222">
        <v>1095</v>
      </c>
      <c r="AO20" s="226">
        <f t="shared" si="11"/>
        <v>10.537455322965799</v>
      </c>
      <c r="AP20" s="312">
        <v>1095</v>
      </c>
      <c r="AQ20" s="286">
        <f>AK20*Wirtschaftlichkeit!$J$5/Wirtschaftlichkeit!$J$7</f>
        <v>4</v>
      </c>
      <c r="AR20" s="284">
        <f t="shared" si="12"/>
        <v>292</v>
      </c>
      <c r="AT20" s="222">
        <v>1095</v>
      </c>
      <c r="AU20" s="225">
        <f>IF($C20&gt;=Wirtschaftlichkeit!$K$8,Wirtschaftlichkeit!$K$8,IF(AND($C20&lt;=Wirtschaftlichkeit!$K$8,$C20&gt;=Wirtschaftlichkeit!$K$8*Eingabemaske!$B$18),$C20,"0"))</f>
        <v>12.739122166763016</v>
      </c>
      <c r="AV20" s="222">
        <v>1095</v>
      </c>
      <c r="AW20" s="224">
        <f t="shared" si="13"/>
        <v>929.95591817370018</v>
      </c>
      <c r="AX20" s="222">
        <v>1095</v>
      </c>
      <c r="AY20" s="226">
        <f t="shared" si="14"/>
        <v>12.739122166763016</v>
      </c>
      <c r="AZ20" s="312">
        <v>1095</v>
      </c>
      <c r="BA20" s="286">
        <f>AU20*Wirtschaftlichkeit!$K$5/Wirtschaftlichkeit!$K$7</f>
        <v>5</v>
      </c>
      <c r="BB20" s="284">
        <f t="shared" si="15"/>
        <v>365</v>
      </c>
      <c r="BD20" s="222">
        <v>1095</v>
      </c>
      <c r="BE20" s="225">
        <f>IF($C20&gt;=Wirtschaftlichkeit!$L$8,Wirtschaftlichkeit!$L$8,IF(AND($C20&lt;=Wirtschaftlichkeit!$L$8,$C20&gt;=Wirtschaftlichkeit!$L$8*Eingabemaske!$B$18),$C20,"0"))</f>
        <v>14.87189090675227</v>
      </c>
      <c r="BF20" s="222">
        <v>1095</v>
      </c>
      <c r="BG20" s="224">
        <f t="shared" si="16"/>
        <v>1085.6480361929157</v>
      </c>
      <c r="BH20" s="222">
        <v>1095</v>
      </c>
      <c r="BI20" s="226">
        <f t="shared" si="17"/>
        <v>14.87189090675227</v>
      </c>
      <c r="BJ20" s="312">
        <v>1095</v>
      </c>
      <c r="BK20" s="286">
        <f>BE20*Wirtschaftlichkeit!$L$5/Wirtschaftlichkeit!$L$7</f>
        <v>6</v>
      </c>
      <c r="BL20" s="284">
        <f t="shared" si="18"/>
        <v>438</v>
      </c>
      <c r="BN20" s="222">
        <v>1095</v>
      </c>
      <c r="BO20" s="225">
        <f>IF($C20&gt;=Wirtschaftlichkeit!$M$8,Wirtschaftlichkeit!$M$8,IF(AND($C20&lt;=Wirtschaftlichkeit!$M$8,$C20&gt;=Wirtschaftlichkeit!$M$8*Eingabemaske!$B$18),$C20,"0"))</f>
        <v>16.948500863015312</v>
      </c>
      <c r="BP20" s="222">
        <v>1095</v>
      </c>
      <c r="BQ20" s="224">
        <f t="shared" si="19"/>
        <v>1237.2405630001178</v>
      </c>
      <c r="BR20" s="222">
        <v>1095</v>
      </c>
      <c r="BS20" s="226">
        <f t="shared" si="20"/>
        <v>16.948500863015312</v>
      </c>
      <c r="BT20" s="312">
        <v>1095</v>
      </c>
      <c r="BU20" s="286">
        <f>BO20*Wirtschaftlichkeit!$M$5/Wirtschaftlichkeit!$M$7</f>
        <v>7</v>
      </c>
      <c r="BV20" s="284">
        <f t="shared" si="21"/>
        <v>511</v>
      </c>
      <c r="BX20" s="222">
        <v>1095</v>
      </c>
      <c r="BY20" s="225">
        <f>IF($C20&gt;=Wirtschaftlichkeit!$N$8,Wirtschaftlichkeit!$N$8,IF(AND($C20&lt;=Wirtschaftlichkeit!$N$8,$C20&gt;=Wirtschaftlichkeit!$N$8*Eingabemaske!$B$18),$C20,"0"))</f>
        <v>18.977838419132468</v>
      </c>
      <c r="BZ20" s="222">
        <v>1095</v>
      </c>
      <c r="CA20" s="224">
        <f t="shared" si="22"/>
        <v>1385.3822045966701</v>
      </c>
      <c r="CB20" s="222">
        <v>1095</v>
      </c>
      <c r="CC20" s="226">
        <f t="shared" si="23"/>
        <v>18.977838419132468</v>
      </c>
      <c r="CD20" s="312">
        <v>1095</v>
      </c>
      <c r="CE20" s="286">
        <f>BY20*Wirtschaftlichkeit!$N$5/Wirtschaftlichkeit!$N$7</f>
        <v>8</v>
      </c>
      <c r="CF20" s="284">
        <f t="shared" si="24"/>
        <v>584</v>
      </c>
      <c r="CH20" s="222">
        <v>1095</v>
      </c>
      <c r="CI20" s="225">
        <f>IF($C20&gt;=Wirtschaftlichkeit!$O$8,Wirtschaftlichkeit!$O$8,IF(AND($C20&lt;=Wirtschaftlichkeit!$O$8,$C20&gt;=Wirtschaftlichkeit!$O$8*Eingabemaske!$B$18),$C20,"0"))</f>
        <v>20.966443256074175</v>
      </c>
      <c r="CJ20" s="222">
        <v>1095</v>
      </c>
      <c r="CK20" s="224">
        <f t="shared" si="25"/>
        <v>1530.5503576934148</v>
      </c>
      <c r="CL20" s="222">
        <v>1095</v>
      </c>
      <c r="CM20" s="226">
        <f t="shared" si="26"/>
        <v>20.966443256074175</v>
      </c>
      <c r="CN20" s="312">
        <v>1095</v>
      </c>
      <c r="CO20" s="286">
        <f>CI20*Wirtschaftlichkeit!$O$5/Wirtschaftlichkeit!$O$7</f>
        <v>9</v>
      </c>
      <c r="CP20" s="284">
        <f t="shared" si="27"/>
        <v>657</v>
      </c>
      <c r="CR20" s="222">
        <v>1095</v>
      </c>
      <c r="CS20" s="225">
        <f>IF($C20&gt;=Wirtschaftlichkeit!$P$8,Wirtschaftlichkeit!$P$8,IF(AND($C20&lt;=Wirtschaftlichkeit!$P$8,$C20&gt;=Wirtschaftlichkeit!$P$8*Eingabemaske!$B$18),$C20,"0"))</f>
        <v>21.186450000000001</v>
      </c>
      <c r="CT20" s="222">
        <v>1095</v>
      </c>
      <c r="CU20" s="224">
        <f t="shared" si="28"/>
        <v>1545.779745</v>
      </c>
      <c r="CV20" s="222">
        <v>1095</v>
      </c>
      <c r="CW20" s="226">
        <f t="shared" si="29"/>
        <v>21.186450000000001</v>
      </c>
      <c r="CX20" s="312">
        <v>1095</v>
      </c>
      <c r="CY20" s="286">
        <f>CS20*Wirtschaftlichkeit!$P$5/Wirtschaftlichkeit!$P$7</f>
        <v>9.2439253151824179</v>
      </c>
      <c r="CZ20" s="284">
        <f t="shared" si="30"/>
        <v>674.44392602355379</v>
      </c>
      <c r="DB20" s="222">
        <v>1095</v>
      </c>
      <c r="DC20" s="225">
        <f>IF($C20&gt;=Wirtschaftlichkeit!$Q$8,Wirtschaftlichkeit!$Q$8,IF(AND($C20&lt;=Wirtschaftlichkeit!$Q$8,$C20&gt;=Wirtschaftlichkeit!$Q$8*Eingabemaske!$B$18),$C20,"0"))</f>
        <v>21.186450000000001</v>
      </c>
      <c r="DD20" s="222">
        <v>1095</v>
      </c>
      <c r="DE20" s="224">
        <f t="shared" si="31"/>
        <v>1545.779745</v>
      </c>
      <c r="DF20" s="222">
        <v>1095</v>
      </c>
      <c r="DG20" s="226">
        <f t="shared" si="32"/>
        <v>21.186450000000001</v>
      </c>
      <c r="DH20" s="312">
        <v>1095</v>
      </c>
      <c r="DI20" s="286">
        <f>DC20*Wirtschaftlichkeit!$Q$5/Wirtschaftlichkeit!$Q$7</f>
        <v>9.700626936340214</v>
      </c>
      <c r="DJ20" s="284">
        <f t="shared" si="33"/>
        <v>707.76522881351559</v>
      </c>
      <c r="DL20" s="222">
        <v>1095</v>
      </c>
      <c r="DM20" s="225">
        <f>IF($C20&gt;=Wirtschaftlichkeit!$R$8,Wirtschaftlichkeit!$R$8,IF(AND($C20&lt;=Wirtschaftlichkeit!$R$8,$C20&gt;=Wirtschaftlichkeit!$R$8*Eingabemaske!$B$18),$C20,"0"))</f>
        <v>21.186450000000001</v>
      </c>
      <c r="DN20" s="222">
        <v>1095</v>
      </c>
      <c r="DO20" s="224">
        <f t="shared" si="34"/>
        <v>1545.779745</v>
      </c>
      <c r="DP20" s="222">
        <v>1095</v>
      </c>
      <c r="DQ20" s="226">
        <f t="shared" si="35"/>
        <v>21.186450000000001</v>
      </c>
      <c r="DR20" s="312">
        <v>1095</v>
      </c>
      <c r="DS20" s="286">
        <f>DM20*Wirtschaftlichkeit!$R$5/Wirtschaftlichkeit!$R$7</f>
        <v>9.828719185888577</v>
      </c>
      <c r="DT20" s="284">
        <f t="shared" si="36"/>
        <v>717.11093821000929</v>
      </c>
      <c r="DV20" s="222">
        <v>1095</v>
      </c>
      <c r="DW20" s="225">
        <f>IF($C20&gt;=Wirtschaftlichkeit!$S$8,Wirtschaftlichkeit!$S$8,IF(AND($C20&lt;=Wirtschaftlichkeit!$S$8,$C20&gt;=Wirtschaftlichkeit!$S$8*Eingabemaske!$B$18),$C20,"0"))</f>
        <v>21.186450000000001</v>
      </c>
      <c r="DX20" s="222">
        <v>1095</v>
      </c>
      <c r="DY20" s="224">
        <f t="shared" si="37"/>
        <v>1545.779745</v>
      </c>
      <c r="DZ20" s="222">
        <v>1095</v>
      </c>
      <c r="EA20" s="226">
        <f t="shared" si="38"/>
        <v>21.186450000000001</v>
      </c>
      <c r="EB20" s="312">
        <v>1095</v>
      </c>
      <c r="EC20" s="286">
        <f>DW20*Wirtschaftlichkeit!$S$5/Wirtschaftlichkeit!$S$7</f>
        <v>9.9485266032999391</v>
      </c>
      <c r="ED20" s="284">
        <f t="shared" si="39"/>
        <v>725.85217985904649</v>
      </c>
      <c r="EF20" s="222">
        <v>1095</v>
      </c>
      <c r="EG20" s="225">
        <f>IF($C20&gt;=Wirtschaftlichkeit!$T$8,Wirtschaftlichkeit!$T$8,IF(AND($C20&lt;=Wirtschaftlichkeit!$T$8,$C20&gt;=Wirtschaftlichkeit!$T$8*Eingabemaske!$B$18),$C20,"0"))</f>
        <v>21.186450000000001</v>
      </c>
      <c r="EH20" s="222">
        <v>1095</v>
      </c>
      <c r="EI20" s="224">
        <f t="shared" si="40"/>
        <v>1545.779745</v>
      </c>
      <c r="EJ20" s="222">
        <v>1095</v>
      </c>
      <c r="EK20" s="226">
        <f t="shared" si="41"/>
        <v>21.186450000000001</v>
      </c>
      <c r="EL20" s="312">
        <v>1095</v>
      </c>
      <c r="EM20" s="286">
        <f>EG20*Wirtschaftlichkeit!$T$5/Wirtschaftlichkeit!$T$7</f>
        <v>10.061174736390956</v>
      </c>
      <c r="EN20" s="284">
        <f t="shared" si="42"/>
        <v>734.0710745980972</v>
      </c>
      <c r="EP20" s="222">
        <v>1095</v>
      </c>
      <c r="EQ20" s="225">
        <f>IF($C20&gt;=Wirtschaftlichkeit!$U$8,Wirtschaftlichkeit!$U$8,IF(AND($C20&lt;=Wirtschaftlichkeit!$U$8,$C20&gt;=Wirtschaftlichkeit!$U$8*Eingabemaske!$B$18),$C20,"0"))</f>
        <v>21.186450000000001</v>
      </c>
      <c r="ER20" s="222">
        <v>1095</v>
      </c>
      <c r="ES20" s="224">
        <f t="shared" si="43"/>
        <v>1545.779745</v>
      </c>
      <c r="ET20" s="222">
        <v>1095</v>
      </c>
      <c r="EU20" s="226">
        <f t="shared" si="44"/>
        <v>21.186450000000001</v>
      </c>
      <c r="EV20" s="312">
        <v>1095</v>
      </c>
      <c r="EW20" s="286">
        <f>EQ20*Wirtschaftlichkeit!$U$5/Wirtschaftlichkeit!$U$7</f>
        <v>10.16756812514498</v>
      </c>
      <c r="EX20" s="284">
        <f t="shared" si="45"/>
        <v>741.83361836252595</v>
      </c>
      <c r="EZ20" s="222">
        <v>1095</v>
      </c>
      <c r="FA20" s="225">
        <f>IF($C20&gt;=Wirtschaftlichkeit!$V$8,Wirtschaftlichkeit!$V$8,IF(AND($C20&lt;=Wirtschaftlichkeit!$V$8,$C20&gt;=Wirtschaftlichkeit!$V$8*Eingabemaske!$B$18),$C20,"0"))</f>
        <v>21.186450000000001</v>
      </c>
      <c r="FB20" s="222">
        <v>1095</v>
      </c>
      <c r="FC20" s="224">
        <f t="shared" si="46"/>
        <v>1545.779745</v>
      </c>
      <c r="FD20" s="222">
        <v>1095</v>
      </c>
      <c r="FE20" s="226">
        <f t="shared" si="47"/>
        <v>21.186450000000001</v>
      </c>
      <c r="FF20" s="312">
        <v>1095</v>
      </c>
      <c r="FG20" s="286">
        <f>FA20*Wirtschaftlichkeit!$V$5/Wirtschaftlichkeit!$V$7</f>
        <v>10.268445305409186</v>
      </c>
      <c r="FH20" s="284">
        <f t="shared" si="48"/>
        <v>749.19369529778976</v>
      </c>
      <c r="FJ20" s="222">
        <v>1095</v>
      </c>
      <c r="FK20" s="225">
        <f>IF($C20&gt;=Wirtschaftlichkeit!$W$8,Wirtschaftlichkeit!$W$8,IF(AND($C20&lt;=Wirtschaftlichkeit!$W$8,$C20&gt;=Wirtschaftlichkeit!$W$8*Eingabemaske!$B$18),$C20,"0"))</f>
        <v>21.186450000000001</v>
      </c>
      <c r="FL20" s="222">
        <v>1095</v>
      </c>
      <c r="FM20" s="224">
        <f t="shared" si="49"/>
        <v>1545.779745</v>
      </c>
      <c r="FN20" s="222">
        <v>1095</v>
      </c>
      <c r="FO20" s="226">
        <f t="shared" si="50"/>
        <v>21.186450000000001</v>
      </c>
      <c r="FP20" s="312">
        <v>1095</v>
      </c>
      <c r="FQ20" s="286">
        <f>FK20*Wirtschaftlichkeit!$W$5/Wirtschaftlichkeit!$W$7</f>
        <v>10.364417589087694</v>
      </c>
      <c r="FR20" s="284">
        <f t="shared" si="51"/>
        <v>756.19590719226153</v>
      </c>
      <c r="FT20" s="222">
        <v>1095</v>
      </c>
      <c r="FU20" s="225">
        <f>IF($C20&gt;=Wirtschaftlichkeit!$X$8,Wirtschaftlichkeit!$X$8,IF(AND($C20&lt;=Wirtschaftlichkeit!$X$8,$C20&gt;=Wirtschaftlichkeit!$X$8*Eingabemaske!$B$18),$C20,"0"))</f>
        <v>21.186450000000001</v>
      </c>
      <c r="FV20" s="222">
        <v>1095</v>
      </c>
      <c r="FW20" s="224">
        <f t="shared" si="52"/>
        <v>1545.779745</v>
      </c>
      <c r="FX20" s="222">
        <v>1095</v>
      </c>
      <c r="FY20" s="226">
        <f t="shared" si="53"/>
        <v>21.186450000000001</v>
      </c>
      <c r="FZ20" s="312">
        <v>1095</v>
      </c>
      <c r="GA20" s="286">
        <f>FU20*Wirtschaftlichkeit!$X$5/Wirtschaftlichkeit!$X$7</f>
        <v>10.455997067322013</v>
      </c>
      <c r="GB20" s="284">
        <f t="shared" si="54"/>
        <v>762.87761661088905</v>
      </c>
      <c r="GD20" s="222">
        <v>1095</v>
      </c>
      <c r="GE20" s="225">
        <f>IF($C20&gt;=Wirtschaftlichkeit!$Y$8,Wirtschaftlichkeit!$Y$8,IF(AND($C20&lt;=Wirtschaftlichkeit!$Y$8,$C20&gt;=Wirtschaftlichkeit!$Y$8*Eingabemaske!$B$18),$C20,"0"))</f>
        <v>21.186450000000001</v>
      </c>
      <c r="GF20" s="222">
        <v>1095</v>
      </c>
      <c r="GG20" s="224">
        <f t="shared" si="55"/>
        <v>1545.779745</v>
      </c>
      <c r="GH20" s="222">
        <v>1095</v>
      </c>
      <c r="GI20" s="226">
        <f t="shared" si="56"/>
        <v>21.186450000000001</v>
      </c>
      <c r="GJ20" s="312">
        <v>1095</v>
      </c>
      <c r="GK20" s="286">
        <f>GE20*Wirtschaftlichkeit!$Y$5/Wirtschaftlichkeit!$Y$7</f>
        <v>10.543617256841266</v>
      </c>
      <c r="GL20" s="284">
        <f t="shared" si="57"/>
        <v>769.27045326884354</v>
      </c>
      <c r="GN20" s="222">
        <v>1095</v>
      </c>
      <c r="GO20" s="225">
        <f>IF($C20&gt;=Wirtschaftlichkeit!$Z$8,Wirtschaftlichkeit!$Z$8,IF(AND($C20&lt;=Wirtschaftlichkeit!$Z$8,$C20&gt;=Wirtschaftlichkeit!$Z$8*Eingabemaske!$B$18),$C20,"0"))</f>
        <v>21.186450000000001</v>
      </c>
      <c r="GP20" s="222">
        <v>1095</v>
      </c>
      <c r="GQ20" s="224">
        <f t="shared" si="58"/>
        <v>1545.779745</v>
      </c>
      <c r="GR20" s="222">
        <v>1095</v>
      </c>
      <c r="GS20" s="226">
        <f t="shared" si="59"/>
        <v>21.186450000000001</v>
      </c>
      <c r="GT20" s="312">
        <v>1095</v>
      </c>
      <c r="GU20" s="286">
        <f>GO20*Wirtschaftlichkeit!$Z$5/Wirtschaftlichkeit!$Z$7</f>
        <v>10.62764860322441</v>
      </c>
      <c r="GV20" s="284">
        <f t="shared" si="60"/>
        <v>775.40144516149871</v>
      </c>
      <c r="GW20" s="266"/>
      <c r="GX20" s="258">
        <v>1095</v>
      </c>
      <c r="GY20" s="270">
        <f>IF(Berechnung_Diagramme!$C$28=Berechnungen_Lastgang!$F$2,Berechnungen_Lastgang!G20,IF(Berechnung_Diagramme!$C$28=Berechnungen_Lastgang!$P$2,Berechnungen_Lastgang!Q20,IF(Berechnung_Diagramme!$C$28=Berechnungen_Lastgang!$Z$2,Berechnungen_Lastgang!AA20,IF(Berechnung_Diagramme!$C$28=Berechnungen_Lastgang!$AJ$2,Berechnungen_Lastgang!AK20,IF(Berechnung_Diagramme!$C$28=Berechnungen_Lastgang!$AT$2,Berechnungen_Lastgang!AU20,IF(Berechnung_Diagramme!$C$28=Berechnungen_Lastgang!$BD$2,Berechnungen_Lastgang!BE20,IF(Berechnung_Diagramme!$C$28=Berechnungen_Lastgang!$BN$2,Berechnungen_Lastgang!BO20,IF(Berechnung_Diagramme!$C$28=Berechnungen_Lastgang!$BX$2,Berechnungen_Lastgang!BY20,IF(Berechnung_Diagramme!$C$28=Berechnungen_Lastgang!$CH$2,Berechnungen_Lastgang!CI20,IF(Berechnung_Diagramme!$C$28=Berechnungen_Lastgang!$CR$2,Berechnungen_Lastgang!CS20,IF(Berechnung_Diagramme!$C$28=Berechnungen_Lastgang!$DB$2,Berechnungen_Lastgang!DC20,IF(Berechnung_Diagramme!$C$28=Berechnungen_Lastgang!$DL$2,Berechnungen_Lastgang!DM20,IF(Berechnung_Diagramme!$C$28=Berechnungen_Lastgang!$DV$2,Berechnungen_Lastgang!DW20,IF(Berechnung_Diagramme!$C$28=Berechnungen_Lastgang!$EF$2,Berechnungen_Lastgang!EG20,IF(Berechnung_Diagramme!$C$28=Berechnungen_Lastgang!$EP$2,Berechnungen_Lastgang!EQ20,IF(Berechnung_Diagramme!$C$28=Berechnungen_Lastgang!$EZ$2,Berechnungen_Lastgang!FA20,IF(Berechnung_Diagramme!$C$28=Berechnungen_Lastgang!$FJ$2,Berechnungen_Lastgang!FK20,IF(Berechnung_Diagramme!$C$28=Berechnungen_Lastgang!$FT$2,Berechnungen_Lastgang!FU20,IF(Berechnung_Diagramme!$C$28=Berechnungen_Lastgang!$GD$2,Berechnungen_Lastgang!GE20,IF(Berechnung_Diagramme!$C$28=Berechnungen_Lastgang!$GN$2,Berechnungen_Lastgang!GO20,""))))))))))))))))))))</f>
        <v>20.966443256074175</v>
      </c>
    </row>
    <row r="21" spans="2:207" ht="14.45" x14ac:dyDescent="0.3">
      <c r="B21" s="64">
        <v>1168</v>
      </c>
      <c r="C21" s="67">
        <f>C20+((C25-C20)/(B25-B20))*(B21-B20)</f>
        <v>21.163679999999999</v>
      </c>
      <c r="D21" s="66">
        <f t="shared" si="0"/>
        <v>1544.1175349999999</v>
      </c>
      <c r="F21" s="64">
        <v>1168</v>
      </c>
      <c r="G21" s="225">
        <f>IF($C21&gt;=Wirtschaftlichkeit!$G$8,Wirtschaftlichkeit!$G$8,IF(AND($C21&lt;=Wirtschaftlichkeit!$G$8,$C21&gt;=Wirtschaftlichkeit!$G$8*Eingabemaske!$B$18),$C21,"0"))</f>
        <v>2.8333333333333335</v>
      </c>
      <c r="H21" s="64">
        <v>1168</v>
      </c>
      <c r="I21" s="66">
        <f t="shared" si="1"/>
        <v>206.83333333333334</v>
      </c>
      <c r="J21" s="64">
        <v>1168</v>
      </c>
      <c r="K21" s="71">
        <f t="shared" si="2"/>
        <v>2.8333333333333335</v>
      </c>
      <c r="L21" s="312">
        <v>1168</v>
      </c>
      <c r="M21" s="286">
        <f>G21*Wirtschaftlichkeit!$G$5/Wirtschaftlichkeit!$G$7</f>
        <v>1</v>
      </c>
      <c r="N21" s="284">
        <f t="shared" si="3"/>
        <v>73</v>
      </c>
      <c r="P21" s="222">
        <v>1168</v>
      </c>
      <c r="Q21" s="225">
        <f>IF($C21&gt;=Wirtschaftlichkeit!$H$8,Wirtschaftlichkeit!$H$8,IF(AND($C21&lt;=Wirtschaftlichkeit!$H$8,$C21&gt;=Wirtschaftlichkeit!$H$8*Eingabemaske!$B$18),$C21,"0"))</f>
        <v>5.5876288659793811</v>
      </c>
      <c r="R21" s="222">
        <v>1168</v>
      </c>
      <c r="S21" s="224">
        <f t="shared" si="4"/>
        <v>407.89690721649481</v>
      </c>
      <c r="T21" s="222">
        <v>1168</v>
      </c>
      <c r="U21" s="226">
        <f t="shared" si="5"/>
        <v>5.5876288659793811</v>
      </c>
      <c r="V21" s="312">
        <v>1168</v>
      </c>
      <c r="W21" s="286">
        <f>Q21*Wirtschaftlichkeit!$H$5/Wirtschaftlichkeit!$H$7</f>
        <v>2</v>
      </c>
      <c r="X21" s="284">
        <f t="shared" si="6"/>
        <v>146</v>
      </c>
      <c r="Z21" s="222">
        <v>1168</v>
      </c>
      <c r="AA21" s="225">
        <f>IF($C21&gt;=Wirtschaftlichkeit!$I$8,Wirtschaftlichkeit!$I$8,IF(AND($C21&lt;=Wirtschaftlichkeit!$I$8,$C21&gt;=Wirtschaftlichkeit!$I$8*Eingabemaske!$B$18),$C21,"0"))</f>
        <v>8.2471643149712612</v>
      </c>
      <c r="AB21" s="222">
        <v>1168</v>
      </c>
      <c r="AC21" s="224">
        <f t="shared" si="7"/>
        <v>602.04299499290209</v>
      </c>
      <c r="AD21" s="222">
        <v>1168</v>
      </c>
      <c r="AE21" s="226">
        <f t="shared" si="8"/>
        <v>8.2471643149712612</v>
      </c>
      <c r="AF21" s="312">
        <v>1168</v>
      </c>
      <c r="AG21" s="286">
        <f>AA21*Wirtschaftlichkeit!$I$5/Wirtschaftlichkeit!$I$7</f>
        <v>3.0000000000000004</v>
      </c>
      <c r="AH21" s="284">
        <f t="shared" si="9"/>
        <v>219.00000000000003</v>
      </c>
      <c r="AJ21" s="222">
        <v>1168</v>
      </c>
      <c r="AK21" s="225">
        <f>IF($C21&gt;=Wirtschaftlichkeit!$J$8,Wirtschaftlichkeit!$J$8,IF(AND($C21&lt;=Wirtschaftlichkeit!$J$8,$C21&gt;=Wirtschaftlichkeit!$J$8*Eingabemaske!$B$18),$C21,"0"))</f>
        <v>10.537455322965799</v>
      </c>
      <c r="AL21" s="222">
        <v>1168</v>
      </c>
      <c r="AM21" s="224">
        <f t="shared" si="10"/>
        <v>769.23423857650334</v>
      </c>
      <c r="AN21" s="222">
        <v>1168</v>
      </c>
      <c r="AO21" s="226">
        <f t="shared" si="11"/>
        <v>10.537455322965799</v>
      </c>
      <c r="AP21" s="312">
        <v>1168</v>
      </c>
      <c r="AQ21" s="286">
        <f>AK21*Wirtschaftlichkeit!$J$5/Wirtschaftlichkeit!$J$7</f>
        <v>4</v>
      </c>
      <c r="AR21" s="284">
        <f t="shared" si="12"/>
        <v>292</v>
      </c>
      <c r="AT21" s="222">
        <v>1168</v>
      </c>
      <c r="AU21" s="225">
        <f>IF($C21&gt;=Wirtschaftlichkeit!$K$8,Wirtschaftlichkeit!$K$8,IF(AND($C21&lt;=Wirtschaftlichkeit!$K$8,$C21&gt;=Wirtschaftlichkeit!$K$8*Eingabemaske!$B$18),$C21,"0"))</f>
        <v>12.739122166763016</v>
      </c>
      <c r="AV21" s="222">
        <v>1168</v>
      </c>
      <c r="AW21" s="224">
        <f t="shared" si="13"/>
        <v>929.95591817370018</v>
      </c>
      <c r="AX21" s="222">
        <v>1168</v>
      </c>
      <c r="AY21" s="226">
        <f t="shared" si="14"/>
        <v>12.739122166763016</v>
      </c>
      <c r="AZ21" s="312">
        <v>1168</v>
      </c>
      <c r="BA21" s="286">
        <f>AU21*Wirtschaftlichkeit!$K$5/Wirtschaftlichkeit!$K$7</f>
        <v>5</v>
      </c>
      <c r="BB21" s="284">
        <f t="shared" si="15"/>
        <v>365</v>
      </c>
      <c r="BD21" s="222">
        <v>1168</v>
      </c>
      <c r="BE21" s="225">
        <f>IF($C21&gt;=Wirtschaftlichkeit!$L$8,Wirtschaftlichkeit!$L$8,IF(AND($C21&lt;=Wirtschaftlichkeit!$L$8,$C21&gt;=Wirtschaftlichkeit!$L$8*Eingabemaske!$B$18),$C21,"0"))</f>
        <v>14.87189090675227</v>
      </c>
      <c r="BF21" s="222">
        <v>1168</v>
      </c>
      <c r="BG21" s="224">
        <f t="shared" si="16"/>
        <v>1085.6480361929157</v>
      </c>
      <c r="BH21" s="222">
        <v>1168</v>
      </c>
      <c r="BI21" s="226">
        <f t="shared" si="17"/>
        <v>14.87189090675227</v>
      </c>
      <c r="BJ21" s="312">
        <v>1168</v>
      </c>
      <c r="BK21" s="286">
        <f>BE21*Wirtschaftlichkeit!$L$5/Wirtschaftlichkeit!$L$7</f>
        <v>6</v>
      </c>
      <c r="BL21" s="284">
        <f t="shared" si="18"/>
        <v>438</v>
      </c>
      <c r="BN21" s="222">
        <v>1168</v>
      </c>
      <c r="BO21" s="225">
        <f>IF($C21&gt;=Wirtschaftlichkeit!$M$8,Wirtschaftlichkeit!$M$8,IF(AND($C21&lt;=Wirtschaftlichkeit!$M$8,$C21&gt;=Wirtschaftlichkeit!$M$8*Eingabemaske!$B$18),$C21,"0"))</f>
        <v>16.948500863015312</v>
      </c>
      <c r="BP21" s="222">
        <v>1168</v>
      </c>
      <c r="BQ21" s="224">
        <f t="shared" si="19"/>
        <v>1237.2405630001178</v>
      </c>
      <c r="BR21" s="222">
        <v>1168</v>
      </c>
      <c r="BS21" s="226">
        <f t="shared" si="20"/>
        <v>16.948500863015312</v>
      </c>
      <c r="BT21" s="312">
        <v>1168</v>
      </c>
      <c r="BU21" s="286">
        <f>BO21*Wirtschaftlichkeit!$M$5/Wirtschaftlichkeit!$M$7</f>
        <v>7</v>
      </c>
      <c r="BV21" s="284">
        <f t="shared" si="21"/>
        <v>511</v>
      </c>
      <c r="BX21" s="222">
        <v>1168</v>
      </c>
      <c r="BY21" s="225">
        <f>IF($C21&gt;=Wirtschaftlichkeit!$N$8,Wirtschaftlichkeit!$N$8,IF(AND($C21&lt;=Wirtschaftlichkeit!$N$8,$C21&gt;=Wirtschaftlichkeit!$N$8*Eingabemaske!$B$18),$C21,"0"))</f>
        <v>18.977838419132468</v>
      </c>
      <c r="BZ21" s="222">
        <v>1168</v>
      </c>
      <c r="CA21" s="224">
        <f t="shared" si="22"/>
        <v>1385.3822045966701</v>
      </c>
      <c r="CB21" s="222">
        <v>1168</v>
      </c>
      <c r="CC21" s="226">
        <f t="shared" si="23"/>
        <v>18.977838419132468</v>
      </c>
      <c r="CD21" s="312">
        <v>1168</v>
      </c>
      <c r="CE21" s="286">
        <f>BY21*Wirtschaftlichkeit!$N$5/Wirtschaftlichkeit!$N$7</f>
        <v>8</v>
      </c>
      <c r="CF21" s="284">
        <f t="shared" si="24"/>
        <v>584</v>
      </c>
      <c r="CH21" s="222">
        <v>1168</v>
      </c>
      <c r="CI21" s="225">
        <f>IF($C21&gt;=Wirtschaftlichkeit!$O$8,Wirtschaftlichkeit!$O$8,IF(AND($C21&lt;=Wirtschaftlichkeit!$O$8,$C21&gt;=Wirtschaftlichkeit!$O$8*Eingabemaske!$B$18),$C21,"0"))</f>
        <v>20.966443256074175</v>
      </c>
      <c r="CJ21" s="222">
        <v>1168</v>
      </c>
      <c r="CK21" s="224">
        <f t="shared" si="25"/>
        <v>1530.5503576934148</v>
      </c>
      <c r="CL21" s="222">
        <v>1168</v>
      </c>
      <c r="CM21" s="226">
        <f t="shared" si="26"/>
        <v>20.966443256074175</v>
      </c>
      <c r="CN21" s="312">
        <v>1168</v>
      </c>
      <c r="CO21" s="286">
        <f>CI21*Wirtschaftlichkeit!$O$5/Wirtschaftlichkeit!$O$7</f>
        <v>9</v>
      </c>
      <c r="CP21" s="284">
        <f t="shared" si="27"/>
        <v>657</v>
      </c>
      <c r="CR21" s="222">
        <v>1168</v>
      </c>
      <c r="CS21" s="225">
        <f>IF($C21&gt;=Wirtschaftlichkeit!$P$8,Wirtschaftlichkeit!$P$8,IF(AND($C21&lt;=Wirtschaftlichkeit!$P$8,$C21&gt;=Wirtschaftlichkeit!$P$8*Eingabemaske!$B$18),$C21,"0"))</f>
        <v>21.163679999999999</v>
      </c>
      <c r="CT21" s="222">
        <v>1168</v>
      </c>
      <c r="CU21" s="224">
        <f t="shared" si="28"/>
        <v>1544.1175349999999</v>
      </c>
      <c r="CV21" s="222">
        <v>1168</v>
      </c>
      <c r="CW21" s="226">
        <f t="shared" si="29"/>
        <v>21.163679999999999</v>
      </c>
      <c r="CX21" s="312">
        <v>1168</v>
      </c>
      <c r="CY21" s="286">
        <f>CS21*Wirtschaftlichkeit!$P$5/Wirtschaftlichkeit!$P$7</f>
        <v>9.2339904662848102</v>
      </c>
      <c r="CZ21" s="284">
        <f t="shared" si="30"/>
        <v>673.71868205402848</v>
      </c>
      <c r="DB21" s="222">
        <v>1168</v>
      </c>
      <c r="DC21" s="225">
        <f>IF($C21&gt;=Wirtschaftlichkeit!$Q$8,Wirtschaftlichkeit!$Q$8,IF(AND($C21&lt;=Wirtschaftlichkeit!$Q$8,$C21&gt;=Wirtschaftlichkeit!$Q$8*Eingabemaske!$B$18),$C21,"0"))</f>
        <v>21.163679999999999</v>
      </c>
      <c r="DD21" s="222">
        <v>1168</v>
      </c>
      <c r="DE21" s="224">
        <f t="shared" si="31"/>
        <v>1544.1175349999999</v>
      </c>
      <c r="DF21" s="222">
        <v>1168</v>
      </c>
      <c r="DG21" s="226">
        <f t="shared" si="32"/>
        <v>21.163679999999999</v>
      </c>
      <c r="DH21" s="312">
        <v>1168</v>
      </c>
      <c r="DI21" s="286">
        <f>DC21*Wirtschaftlichkeit!$Q$5/Wirtschaftlichkeit!$Q$7</f>
        <v>9.6902012503314445</v>
      </c>
      <c r="DJ21" s="284">
        <f t="shared" si="33"/>
        <v>707.00415373487544</v>
      </c>
      <c r="DL21" s="222">
        <v>1168</v>
      </c>
      <c r="DM21" s="225">
        <f>IF($C21&gt;=Wirtschaftlichkeit!$R$8,Wirtschaftlichkeit!$R$8,IF(AND($C21&lt;=Wirtschaftlichkeit!$R$8,$C21&gt;=Wirtschaftlichkeit!$R$8*Eingabemaske!$B$18),$C21,"0"))</f>
        <v>21.163679999999999</v>
      </c>
      <c r="DN21" s="222">
        <v>1168</v>
      </c>
      <c r="DO21" s="224">
        <f t="shared" si="34"/>
        <v>1544.1175349999999</v>
      </c>
      <c r="DP21" s="222">
        <v>1168</v>
      </c>
      <c r="DQ21" s="226">
        <f t="shared" si="35"/>
        <v>21.163679999999999</v>
      </c>
      <c r="DR21" s="312">
        <v>1168</v>
      </c>
      <c r="DS21" s="286">
        <f>DM21*Wirtschaftlichkeit!$R$5/Wirtschaftlichkeit!$R$7</f>
        <v>9.8181558335637309</v>
      </c>
      <c r="DT21" s="284">
        <f t="shared" si="36"/>
        <v>716.33981349029568</v>
      </c>
      <c r="DV21" s="222">
        <v>1168</v>
      </c>
      <c r="DW21" s="225">
        <f>IF($C21&gt;=Wirtschaftlichkeit!$S$8,Wirtschaftlichkeit!$S$8,IF(AND($C21&lt;=Wirtschaftlichkeit!$S$8,$C21&gt;=Wirtschaftlichkeit!$S$8*Eingabemaske!$B$18),$C21,"0"))</f>
        <v>21.163679999999999</v>
      </c>
      <c r="DX21" s="222">
        <v>1168</v>
      </c>
      <c r="DY21" s="224">
        <f t="shared" si="37"/>
        <v>1544.1175349999999</v>
      </c>
      <c r="DZ21" s="222">
        <v>1168</v>
      </c>
      <c r="EA21" s="226">
        <f t="shared" si="38"/>
        <v>21.163679999999999</v>
      </c>
      <c r="EB21" s="312">
        <v>1168</v>
      </c>
      <c r="EC21" s="286">
        <f>DW21*Wirtschaftlichkeit!$S$5/Wirtschaftlichkeit!$S$7</f>
        <v>9.9378344887287327</v>
      </c>
      <c r="ED21" s="284">
        <f t="shared" si="39"/>
        <v>725.07165549534841</v>
      </c>
      <c r="EF21" s="222">
        <v>1168</v>
      </c>
      <c r="EG21" s="225">
        <f>IF($C21&gt;=Wirtschaftlichkeit!$T$8,Wirtschaftlichkeit!$T$8,IF(AND($C21&lt;=Wirtschaftlichkeit!$T$8,$C21&gt;=Wirtschaftlichkeit!$T$8*Eingabemaske!$B$18),$C21,"0"))</f>
        <v>21.163679999999999</v>
      </c>
      <c r="EH21" s="222">
        <v>1168</v>
      </c>
      <c r="EI21" s="224">
        <f t="shared" si="40"/>
        <v>1544.1175349999999</v>
      </c>
      <c r="EJ21" s="222">
        <v>1168</v>
      </c>
      <c r="EK21" s="226">
        <f t="shared" si="41"/>
        <v>21.163679999999999</v>
      </c>
      <c r="EL21" s="312">
        <v>1168</v>
      </c>
      <c r="EM21" s="286">
        <f>EG21*Wirtschaftlichkeit!$T$5/Wirtschaftlichkeit!$T$7</f>
        <v>10.050361553967869</v>
      </c>
      <c r="EN21" s="284">
        <f t="shared" si="42"/>
        <v>733.28171228121175</v>
      </c>
      <c r="EP21" s="222">
        <v>1168</v>
      </c>
      <c r="EQ21" s="225">
        <f>IF($C21&gt;=Wirtschaftlichkeit!$U$8,Wirtschaftlichkeit!$U$8,IF(AND($C21&lt;=Wirtschaftlichkeit!$U$8,$C21&gt;=Wirtschaftlichkeit!$U$8*Eingabemaske!$B$18),$C21,"0"))</f>
        <v>21.163679999999999</v>
      </c>
      <c r="ER21" s="222">
        <v>1168</v>
      </c>
      <c r="ES21" s="224">
        <f t="shared" si="43"/>
        <v>1544.1175349999999</v>
      </c>
      <c r="ET21" s="222">
        <v>1168</v>
      </c>
      <c r="EU21" s="226">
        <f t="shared" si="44"/>
        <v>21.163679999999999</v>
      </c>
      <c r="EV21" s="312">
        <v>1168</v>
      </c>
      <c r="EW21" s="286">
        <f>EQ21*Wirtschaftlichkeit!$U$5/Wirtschaftlichkeit!$U$7</f>
        <v>10.156640597116002</v>
      </c>
      <c r="EX21" s="284">
        <f t="shared" si="45"/>
        <v>741.03590881641037</v>
      </c>
      <c r="EZ21" s="222">
        <v>1168</v>
      </c>
      <c r="FA21" s="225">
        <f>IF($C21&gt;=Wirtschaftlichkeit!$V$8,Wirtschaftlichkeit!$V$8,IF(AND($C21&lt;=Wirtschaftlichkeit!$V$8,$C21&gt;=Wirtschaftlichkeit!$V$8*Eingabemaske!$B$18),$C21,"0"))</f>
        <v>21.163679999999999</v>
      </c>
      <c r="FB21" s="222">
        <v>1168</v>
      </c>
      <c r="FC21" s="224">
        <f t="shared" si="46"/>
        <v>1544.1175349999999</v>
      </c>
      <c r="FD21" s="222">
        <v>1168</v>
      </c>
      <c r="FE21" s="226">
        <f t="shared" si="47"/>
        <v>21.163679999999999</v>
      </c>
      <c r="FF21" s="312">
        <v>1168</v>
      </c>
      <c r="FG21" s="286">
        <f>FA21*Wirtschaftlichkeit!$V$5/Wirtschaftlichkeit!$V$7</f>
        <v>10.257409360283685</v>
      </c>
      <c r="FH21" s="284">
        <f t="shared" si="48"/>
        <v>748.38807130362829</v>
      </c>
      <c r="FJ21" s="222">
        <v>1168</v>
      </c>
      <c r="FK21" s="225">
        <f>IF($C21&gt;=Wirtschaftlichkeit!$W$8,Wirtschaftlichkeit!$W$8,IF(AND($C21&lt;=Wirtschaftlichkeit!$W$8,$C21&gt;=Wirtschaftlichkeit!$W$8*Eingabemaske!$B$18),$C21,"0"))</f>
        <v>21.163679999999999</v>
      </c>
      <c r="FL21" s="222">
        <v>1168</v>
      </c>
      <c r="FM21" s="224">
        <f t="shared" si="49"/>
        <v>1544.1175349999999</v>
      </c>
      <c r="FN21" s="222">
        <v>1168</v>
      </c>
      <c r="FO21" s="226">
        <f t="shared" si="50"/>
        <v>21.163679999999999</v>
      </c>
      <c r="FP21" s="312">
        <v>1168</v>
      </c>
      <c r="FQ21" s="286">
        <f>FK21*Wirtschaftlichkeit!$W$5/Wirtschaftlichkeit!$W$7</f>
        <v>10.353278498371527</v>
      </c>
      <c r="FR21" s="284">
        <f t="shared" si="51"/>
        <v>755.38275356998133</v>
      </c>
      <c r="FT21" s="222">
        <v>1168</v>
      </c>
      <c r="FU21" s="225">
        <f>IF($C21&gt;=Wirtschaftlichkeit!$X$8,Wirtschaftlichkeit!$X$8,IF(AND($C21&lt;=Wirtschaftlichkeit!$X$8,$C21&gt;=Wirtschaftlichkeit!$X$8*Eingabemaske!$B$18),$C21,"0"))</f>
        <v>21.163679999999999</v>
      </c>
      <c r="FV21" s="222">
        <v>1168</v>
      </c>
      <c r="FW21" s="224">
        <f t="shared" si="52"/>
        <v>1544.1175349999999</v>
      </c>
      <c r="FX21" s="222">
        <v>1168</v>
      </c>
      <c r="FY21" s="226">
        <f t="shared" si="53"/>
        <v>21.163679999999999</v>
      </c>
      <c r="FZ21" s="312">
        <v>1168</v>
      </c>
      <c r="GA21" s="286">
        <f>FU21*Wirtschaftlichkeit!$X$5/Wirtschaftlichkeit!$X$7</f>
        <v>10.444759552154398</v>
      </c>
      <c r="GB21" s="284">
        <f t="shared" si="54"/>
        <v>762.0572780036531</v>
      </c>
      <c r="GD21" s="222">
        <v>1168</v>
      </c>
      <c r="GE21" s="225">
        <f>IF($C21&gt;=Wirtschaftlichkeit!$Y$8,Wirtschaftlichkeit!$Y$8,IF(AND($C21&lt;=Wirtschaftlichkeit!$Y$8,$C21&gt;=Wirtschaftlichkeit!$Y$8*Eingabemaske!$B$18),$C21,"0"))</f>
        <v>21.163679999999999</v>
      </c>
      <c r="GF21" s="222">
        <v>1168</v>
      </c>
      <c r="GG21" s="224">
        <f t="shared" si="55"/>
        <v>1544.1175349999999</v>
      </c>
      <c r="GH21" s="222">
        <v>1168</v>
      </c>
      <c r="GI21" s="226">
        <f t="shared" si="56"/>
        <v>21.163679999999999</v>
      </c>
      <c r="GJ21" s="312">
        <v>1168</v>
      </c>
      <c r="GK21" s="286">
        <f>GE21*Wirtschaftlichkeit!$Y$5/Wirtschaftlichkeit!$Y$7</f>
        <v>10.53228557244212</v>
      </c>
      <c r="GL21" s="284">
        <f t="shared" si="57"/>
        <v>768.44324030770599</v>
      </c>
      <c r="GN21" s="222">
        <v>1168</v>
      </c>
      <c r="GO21" s="225">
        <f>IF($C21&gt;=Wirtschaftlichkeit!$Z$8,Wirtschaftlichkeit!$Z$8,IF(AND($C21&lt;=Wirtschaftlichkeit!$Z$8,$C21&gt;=Wirtschaftlichkeit!$Z$8*Eingabemaske!$B$18),$C21,"0"))</f>
        <v>21.163679999999999</v>
      </c>
      <c r="GP21" s="222">
        <v>1168</v>
      </c>
      <c r="GQ21" s="224">
        <f t="shared" si="58"/>
        <v>1544.1175349999999</v>
      </c>
      <c r="GR21" s="222">
        <v>1168</v>
      </c>
      <c r="GS21" s="226">
        <f t="shared" si="59"/>
        <v>21.163679999999999</v>
      </c>
      <c r="GT21" s="312">
        <v>1168</v>
      </c>
      <c r="GU21" s="286">
        <f>GO21*Wirtschaftlichkeit!$Z$5/Wirtschaftlichkeit!$Z$7</f>
        <v>10.616226606679664</v>
      </c>
      <c r="GV21" s="284">
        <f t="shared" si="60"/>
        <v>774.56763941373219</v>
      </c>
      <c r="GW21" s="266"/>
      <c r="GX21" s="258">
        <v>1168</v>
      </c>
      <c r="GY21" s="270">
        <f>IF(Berechnung_Diagramme!$C$28=Berechnungen_Lastgang!$F$2,Berechnungen_Lastgang!G21,IF(Berechnung_Diagramme!$C$28=Berechnungen_Lastgang!$P$2,Berechnungen_Lastgang!Q21,IF(Berechnung_Diagramme!$C$28=Berechnungen_Lastgang!$Z$2,Berechnungen_Lastgang!AA21,IF(Berechnung_Diagramme!$C$28=Berechnungen_Lastgang!$AJ$2,Berechnungen_Lastgang!AK21,IF(Berechnung_Diagramme!$C$28=Berechnungen_Lastgang!$AT$2,Berechnungen_Lastgang!AU21,IF(Berechnung_Diagramme!$C$28=Berechnungen_Lastgang!$BD$2,Berechnungen_Lastgang!BE21,IF(Berechnung_Diagramme!$C$28=Berechnungen_Lastgang!$BN$2,Berechnungen_Lastgang!BO21,IF(Berechnung_Diagramme!$C$28=Berechnungen_Lastgang!$BX$2,Berechnungen_Lastgang!BY21,IF(Berechnung_Diagramme!$C$28=Berechnungen_Lastgang!$CH$2,Berechnungen_Lastgang!CI21,IF(Berechnung_Diagramme!$C$28=Berechnungen_Lastgang!$CR$2,Berechnungen_Lastgang!CS21,IF(Berechnung_Diagramme!$C$28=Berechnungen_Lastgang!$DB$2,Berechnungen_Lastgang!DC21,IF(Berechnung_Diagramme!$C$28=Berechnungen_Lastgang!$DL$2,Berechnungen_Lastgang!DM21,IF(Berechnung_Diagramme!$C$28=Berechnungen_Lastgang!$DV$2,Berechnungen_Lastgang!DW21,IF(Berechnung_Diagramme!$C$28=Berechnungen_Lastgang!$EF$2,Berechnungen_Lastgang!EG21,IF(Berechnung_Diagramme!$C$28=Berechnungen_Lastgang!$EP$2,Berechnungen_Lastgang!EQ21,IF(Berechnung_Diagramme!$C$28=Berechnungen_Lastgang!$EZ$2,Berechnungen_Lastgang!FA21,IF(Berechnung_Diagramme!$C$28=Berechnungen_Lastgang!$FJ$2,Berechnungen_Lastgang!FK21,IF(Berechnung_Diagramme!$C$28=Berechnungen_Lastgang!$FT$2,Berechnungen_Lastgang!FU21,IF(Berechnung_Diagramme!$C$28=Berechnungen_Lastgang!$GD$2,Berechnungen_Lastgang!GE21,IF(Berechnung_Diagramme!$C$28=Berechnungen_Lastgang!$GN$2,Berechnungen_Lastgang!GO21,""))))))))))))))))))))</f>
        <v>20.966443256074175</v>
      </c>
    </row>
    <row r="22" spans="2:207" ht="14.45" x14ac:dyDescent="0.3">
      <c r="B22" s="64">
        <v>1241</v>
      </c>
      <c r="C22" s="67">
        <f>C21+((C25-C21)/(B25-B21))*(B22-B21)</f>
        <v>21.140909999999998</v>
      </c>
      <c r="D22" s="66">
        <f t="shared" si="0"/>
        <v>1542.4553250000001</v>
      </c>
      <c r="F22" s="64">
        <v>1241</v>
      </c>
      <c r="G22" s="225">
        <f>IF($C22&gt;=Wirtschaftlichkeit!$G$8,Wirtschaftlichkeit!$G$8,IF(AND($C22&lt;=Wirtschaftlichkeit!$G$8,$C22&gt;=Wirtschaftlichkeit!$G$8*Eingabemaske!$B$18),$C22,"0"))</f>
        <v>2.8333333333333335</v>
      </c>
      <c r="H22" s="64">
        <v>1241</v>
      </c>
      <c r="I22" s="66">
        <f t="shared" si="1"/>
        <v>206.83333333333334</v>
      </c>
      <c r="J22" s="64">
        <v>1241</v>
      </c>
      <c r="K22" s="71">
        <f t="shared" si="2"/>
        <v>2.8333333333333335</v>
      </c>
      <c r="L22" s="312">
        <v>1241</v>
      </c>
      <c r="M22" s="286">
        <f>G22*Wirtschaftlichkeit!$G$5/Wirtschaftlichkeit!$G$7</f>
        <v>1</v>
      </c>
      <c r="N22" s="284">
        <f t="shared" si="3"/>
        <v>73</v>
      </c>
      <c r="P22" s="222">
        <v>1241</v>
      </c>
      <c r="Q22" s="225">
        <f>IF($C22&gt;=Wirtschaftlichkeit!$H$8,Wirtschaftlichkeit!$H$8,IF(AND($C22&lt;=Wirtschaftlichkeit!$H$8,$C22&gt;=Wirtschaftlichkeit!$H$8*Eingabemaske!$B$18),$C22,"0"))</f>
        <v>5.5876288659793811</v>
      </c>
      <c r="R22" s="222">
        <v>1241</v>
      </c>
      <c r="S22" s="224">
        <f t="shared" si="4"/>
        <v>407.89690721649481</v>
      </c>
      <c r="T22" s="222">
        <v>1241</v>
      </c>
      <c r="U22" s="226">
        <f t="shared" si="5"/>
        <v>5.5876288659793811</v>
      </c>
      <c r="V22" s="312">
        <v>1241</v>
      </c>
      <c r="W22" s="286">
        <f>Q22*Wirtschaftlichkeit!$H$5/Wirtschaftlichkeit!$H$7</f>
        <v>2</v>
      </c>
      <c r="X22" s="284">
        <f t="shared" si="6"/>
        <v>146</v>
      </c>
      <c r="Z22" s="222">
        <v>1241</v>
      </c>
      <c r="AA22" s="225">
        <f>IF($C22&gt;=Wirtschaftlichkeit!$I$8,Wirtschaftlichkeit!$I$8,IF(AND($C22&lt;=Wirtschaftlichkeit!$I$8,$C22&gt;=Wirtschaftlichkeit!$I$8*Eingabemaske!$B$18),$C22,"0"))</f>
        <v>8.2471643149712612</v>
      </c>
      <c r="AB22" s="222">
        <v>1241</v>
      </c>
      <c r="AC22" s="224">
        <f t="shared" si="7"/>
        <v>602.04299499290209</v>
      </c>
      <c r="AD22" s="222">
        <v>1241</v>
      </c>
      <c r="AE22" s="226">
        <f t="shared" si="8"/>
        <v>8.2471643149712612</v>
      </c>
      <c r="AF22" s="312">
        <v>1241</v>
      </c>
      <c r="AG22" s="286">
        <f>AA22*Wirtschaftlichkeit!$I$5/Wirtschaftlichkeit!$I$7</f>
        <v>3.0000000000000004</v>
      </c>
      <c r="AH22" s="284">
        <f t="shared" si="9"/>
        <v>219.00000000000003</v>
      </c>
      <c r="AJ22" s="222">
        <v>1241</v>
      </c>
      <c r="AK22" s="225">
        <f>IF($C22&gt;=Wirtschaftlichkeit!$J$8,Wirtschaftlichkeit!$J$8,IF(AND($C22&lt;=Wirtschaftlichkeit!$J$8,$C22&gt;=Wirtschaftlichkeit!$J$8*Eingabemaske!$B$18),$C22,"0"))</f>
        <v>10.537455322965799</v>
      </c>
      <c r="AL22" s="222">
        <v>1241</v>
      </c>
      <c r="AM22" s="224">
        <f t="shared" si="10"/>
        <v>769.23423857650334</v>
      </c>
      <c r="AN22" s="222">
        <v>1241</v>
      </c>
      <c r="AO22" s="226">
        <f t="shared" si="11"/>
        <v>10.537455322965799</v>
      </c>
      <c r="AP22" s="312">
        <v>1241</v>
      </c>
      <c r="AQ22" s="286">
        <f>AK22*Wirtschaftlichkeit!$J$5/Wirtschaftlichkeit!$J$7</f>
        <v>4</v>
      </c>
      <c r="AR22" s="284">
        <f t="shared" si="12"/>
        <v>292</v>
      </c>
      <c r="AT22" s="222">
        <v>1241</v>
      </c>
      <c r="AU22" s="225">
        <f>IF($C22&gt;=Wirtschaftlichkeit!$K$8,Wirtschaftlichkeit!$K$8,IF(AND($C22&lt;=Wirtschaftlichkeit!$K$8,$C22&gt;=Wirtschaftlichkeit!$K$8*Eingabemaske!$B$18),$C22,"0"))</f>
        <v>12.739122166763016</v>
      </c>
      <c r="AV22" s="222">
        <v>1241</v>
      </c>
      <c r="AW22" s="224">
        <f t="shared" si="13"/>
        <v>929.95591817370018</v>
      </c>
      <c r="AX22" s="222">
        <v>1241</v>
      </c>
      <c r="AY22" s="226">
        <f t="shared" si="14"/>
        <v>12.739122166763016</v>
      </c>
      <c r="AZ22" s="312">
        <v>1241</v>
      </c>
      <c r="BA22" s="286">
        <f>AU22*Wirtschaftlichkeit!$K$5/Wirtschaftlichkeit!$K$7</f>
        <v>5</v>
      </c>
      <c r="BB22" s="284">
        <f t="shared" si="15"/>
        <v>365</v>
      </c>
      <c r="BD22" s="222">
        <v>1241</v>
      </c>
      <c r="BE22" s="225">
        <f>IF($C22&gt;=Wirtschaftlichkeit!$L$8,Wirtschaftlichkeit!$L$8,IF(AND($C22&lt;=Wirtschaftlichkeit!$L$8,$C22&gt;=Wirtschaftlichkeit!$L$8*Eingabemaske!$B$18),$C22,"0"))</f>
        <v>14.87189090675227</v>
      </c>
      <c r="BF22" s="222">
        <v>1241</v>
      </c>
      <c r="BG22" s="224">
        <f t="shared" si="16"/>
        <v>1085.6480361929157</v>
      </c>
      <c r="BH22" s="222">
        <v>1241</v>
      </c>
      <c r="BI22" s="226">
        <f t="shared" si="17"/>
        <v>14.87189090675227</v>
      </c>
      <c r="BJ22" s="312">
        <v>1241</v>
      </c>
      <c r="BK22" s="286">
        <f>BE22*Wirtschaftlichkeit!$L$5/Wirtschaftlichkeit!$L$7</f>
        <v>6</v>
      </c>
      <c r="BL22" s="284">
        <f t="shared" si="18"/>
        <v>438</v>
      </c>
      <c r="BN22" s="222">
        <v>1241</v>
      </c>
      <c r="BO22" s="225">
        <f>IF($C22&gt;=Wirtschaftlichkeit!$M$8,Wirtschaftlichkeit!$M$8,IF(AND($C22&lt;=Wirtschaftlichkeit!$M$8,$C22&gt;=Wirtschaftlichkeit!$M$8*Eingabemaske!$B$18),$C22,"0"))</f>
        <v>16.948500863015312</v>
      </c>
      <c r="BP22" s="222">
        <v>1241</v>
      </c>
      <c r="BQ22" s="224">
        <f t="shared" si="19"/>
        <v>1237.2405630001178</v>
      </c>
      <c r="BR22" s="222">
        <v>1241</v>
      </c>
      <c r="BS22" s="226">
        <f t="shared" si="20"/>
        <v>16.948500863015312</v>
      </c>
      <c r="BT22" s="312">
        <v>1241</v>
      </c>
      <c r="BU22" s="286">
        <f>BO22*Wirtschaftlichkeit!$M$5/Wirtschaftlichkeit!$M$7</f>
        <v>7</v>
      </c>
      <c r="BV22" s="284">
        <f t="shared" si="21"/>
        <v>511</v>
      </c>
      <c r="BX22" s="222">
        <v>1241</v>
      </c>
      <c r="BY22" s="225">
        <f>IF($C22&gt;=Wirtschaftlichkeit!$N$8,Wirtschaftlichkeit!$N$8,IF(AND($C22&lt;=Wirtschaftlichkeit!$N$8,$C22&gt;=Wirtschaftlichkeit!$N$8*Eingabemaske!$B$18),$C22,"0"))</f>
        <v>18.977838419132468</v>
      </c>
      <c r="BZ22" s="222">
        <v>1241</v>
      </c>
      <c r="CA22" s="224">
        <f t="shared" si="22"/>
        <v>1385.3822045966701</v>
      </c>
      <c r="CB22" s="222">
        <v>1241</v>
      </c>
      <c r="CC22" s="226">
        <f t="shared" si="23"/>
        <v>18.977838419132468</v>
      </c>
      <c r="CD22" s="312">
        <v>1241</v>
      </c>
      <c r="CE22" s="286">
        <f>BY22*Wirtschaftlichkeit!$N$5/Wirtschaftlichkeit!$N$7</f>
        <v>8</v>
      </c>
      <c r="CF22" s="284">
        <f t="shared" si="24"/>
        <v>584</v>
      </c>
      <c r="CH22" s="222">
        <v>1241</v>
      </c>
      <c r="CI22" s="225">
        <f>IF($C22&gt;=Wirtschaftlichkeit!$O$8,Wirtschaftlichkeit!$O$8,IF(AND($C22&lt;=Wirtschaftlichkeit!$O$8,$C22&gt;=Wirtschaftlichkeit!$O$8*Eingabemaske!$B$18),$C22,"0"))</f>
        <v>20.966443256074175</v>
      </c>
      <c r="CJ22" s="222">
        <v>1241</v>
      </c>
      <c r="CK22" s="224">
        <f t="shared" si="25"/>
        <v>1530.5503576934148</v>
      </c>
      <c r="CL22" s="222">
        <v>1241</v>
      </c>
      <c r="CM22" s="226">
        <f t="shared" si="26"/>
        <v>20.966443256074175</v>
      </c>
      <c r="CN22" s="312">
        <v>1241</v>
      </c>
      <c r="CO22" s="286">
        <f>CI22*Wirtschaftlichkeit!$O$5/Wirtschaftlichkeit!$O$7</f>
        <v>9</v>
      </c>
      <c r="CP22" s="284">
        <f t="shared" si="27"/>
        <v>657</v>
      </c>
      <c r="CR22" s="222">
        <v>1241</v>
      </c>
      <c r="CS22" s="225">
        <f>IF($C22&gt;=Wirtschaftlichkeit!$P$8,Wirtschaftlichkeit!$P$8,IF(AND($C22&lt;=Wirtschaftlichkeit!$P$8,$C22&gt;=Wirtschaftlichkeit!$P$8*Eingabemaske!$B$18),$C22,"0"))</f>
        <v>21.140909999999998</v>
      </c>
      <c r="CT22" s="222">
        <v>1241</v>
      </c>
      <c r="CU22" s="224">
        <f t="shared" si="28"/>
        <v>1542.4553250000001</v>
      </c>
      <c r="CV22" s="222">
        <v>1241</v>
      </c>
      <c r="CW22" s="226">
        <f t="shared" si="29"/>
        <v>21.140909999999998</v>
      </c>
      <c r="CX22" s="312">
        <v>1241</v>
      </c>
      <c r="CY22" s="286">
        <f>CS22*Wirtschaftlichkeit!$P$5/Wirtschaftlichkeit!$P$7</f>
        <v>9.2240556173872026</v>
      </c>
      <c r="CZ22" s="284">
        <f t="shared" si="30"/>
        <v>672.99343808450328</v>
      </c>
      <c r="DB22" s="222">
        <v>1241</v>
      </c>
      <c r="DC22" s="225">
        <f>IF($C22&gt;=Wirtschaftlichkeit!$Q$8,Wirtschaftlichkeit!$Q$8,IF(AND($C22&lt;=Wirtschaftlichkeit!$Q$8,$C22&gt;=Wirtschaftlichkeit!$Q$8*Eingabemaske!$B$18),$C22,"0"))</f>
        <v>21.140909999999998</v>
      </c>
      <c r="DD22" s="222">
        <v>1241</v>
      </c>
      <c r="DE22" s="224">
        <f t="shared" si="31"/>
        <v>1542.4553250000001</v>
      </c>
      <c r="DF22" s="222">
        <v>1241</v>
      </c>
      <c r="DG22" s="226">
        <f t="shared" si="32"/>
        <v>21.140909999999998</v>
      </c>
      <c r="DH22" s="312">
        <v>1241</v>
      </c>
      <c r="DI22" s="286">
        <f>DC22*Wirtschaftlichkeit!$Q$5/Wirtschaftlichkeit!$Q$7</f>
        <v>9.6797755643226768</v>
      </c>
      <c r="DJ22" s="284">
        <f t="shared" si="33"/>
        <v>706.2430786562353</v>
      </c>
      <c r="DL22" s="222">
        <v>1241</v>
      </c>
      <c r="DM22" s="225">
        <f>IF($C22&gt;=Wirtschaftlichkeit!$R$8,Wirtschaftlichkeit!$R$8,IF(AND($C22&lt;=Wirtschaftlichkeit!$R$8,$C22&gt;=Wirtschaftlichkeit!$R$8*Eingabemaske!$B$18),$C22,"0"))</f>
        <v>21.140909999999998</v>
      </c>
      <c r="DN22" s="222">
        <v>1241</v>
      </c>
      <c r="DO22" s="224">
        <f t="shared" si="34"/>
        <v>1542.4553250000001</v>
      </c>
      <c r="DP22" s="222">
        <v>1241</v>
      </c>
      <c r="DQ22" s="226">
        <f t="shared" si="35"/>
        <v>21.140909999999998</v>
      </c>
      <c r="DR22" s="312">
        <v>1241</v>
      </c>
      <c r="DS22" s="286">
        <f>DM22*Wirtschaftlichkeit!$R$5/Wirtschaftlichkeit!$R$7</f>
        <v>9.8075924812388884</v>
      </c>
      <c r="DT22" s="284">
        <f t="shared" si="36"/>
        <v>715.56868877058207</v>
      </c>
      <c r="DV22" s="222">
        <v>1241</v>
      </c>
      <c r="DW22" s="225">
        <f>IF($C22&gt;=Wirtschaftlichkeit!$S$8,Wirtschaftlichkeit!$S$8,IF(AND($C22&lt;=Wirtschaftlichkeit!$S$8,$C22&gt;=Wirtschaftlichkeit!$S$8*Eingabemaske!$B$18),$C22,"0"))</f>
        <v>21.140909999999998</v>
      </c>
      <c r="DX22" s="222">
        <v>1241</v>
      </c>
      <c r="DY22" s="224">
        <f t="shared" si="37"/>
        <v>1542.4553250000001</v>
      </c>
      <c r="DZ22" s="222">
        <v>1241</v>
      </c>
      <c r="EA22" s="226">
        <f t="shared" si="38"/>
        <v>21.140909999999998</v>
      </c>
      <c r="EB22" s="312">
        <v>1241</v>
      </c>
      <c r="EC22" s="286">
        <f>DW22*Wirtschaftlichkeit!$S$5/Wirtschaftlichkeit!$S$7</f>
        <v>9.9271423741575262</v>
      </c>
      <c r="ED22" s="284">
        <f t="shared" si="39"/>
        <v>724.29113113165033</v>
      </c>
      <c r="EF22" s="222">
        <v>1241</v>
      </c>
      <c r="EG22" s="225">
        <f>IF($C22&gt;=Wirtschaftlichkeit!$T$8,Wirtschaftlichkeit!$T$8,IF(AND($C22&lt;=Wirtschaftlichkeit!$T$8,$C22&gt;=Wirtschaftlichkeit!$T$8*Eingabemaske!$B$18),$C22,"0"))</f>
        <v>21.140909999999998</v>
      </c>
      <c r="EH22" s="222">
        <v>1241</v>
      </c>
      <c r="EI22" s="224">
        <f t="shared" si="40"/>
        <v>1542.4553250000001</v>
      </c>
      <c r="EJ22" s="222">
        <v>1241</v>
      </c>
      <c r="EK22" s="226">
        <f t="shared" si="41"/>
        <v>21.140909999999998</v>
      </c>
      <c r="EL22" s="312">
        <v>1241</v>
      </c>
      <c r="EM22" s="286">
        <f>EG22*Wirtschaftlichkeit!$T$5/Wirtschaftlichkeit!$T$7</f>
        <v>10.039548371544781</v>
      </c>
      <c r="EN22" s="284">
        <f t="shared" si="42"/>
        <v>732.49234996432619</v>
      </c>
      <c r="EP22" s="222">
        <v>1241</v>
      </c>
      <c r="EQ22" s="225">
        <f>IF($C22&gt;=Wirtschaftlichkeit!$U$8,Wirtschaftlichkeit!$U$8,IF(AND($C22&lt;=Wirtschaftlichkeit!$U$8,$C22&gt;=Wirtschaftlichkeit!$U$8*Eingabemaske!$B$18),$C22,"0"))</f>
        <v>21.140909999999998</v>
      </c>
      <c r="ER22" s="222">
        <v>1241</v>
      </c>
      <c r="ES22" s="224">
        <f t="shared" si="43"/>
        <v>1542.4553250000001</v>
      </c>
      <c r="ET22" s="222">
        <v>1241</v>
      </c>
      <c r="EU22" s="226">
        <f t="shared" si="44"/>
        <v>21.140909999999998</v>
      </c>
      <c r="EV22" s="312">
        <v>1241</v>
      </c>
      <c r="EW22" s="286">
        <f>EQ22*Wirtschaftlichkeit!$U$5/Wirtschaftlichkeit!$U$7</f>
        <v>10.145713069087021</v>
      </c>
      <c r="EX22" s="284">
        <f t="shared" si="45"/>
        <v>740.2381992702949</v>
      </c>
      <c r="EZ22" s="222">
        <v>1241</v>
      </c>
      <c r="FA22" s="225">
        <f>IF($C22&gt;=Wirtschaftlichkeit!$V$8,Wirtschaftlichkeit!$V$8,IF(AND($C22&lt;=Wirtschaftlichkeit!$V$8,$C22&gt;=Wirtschaftlichkeit!$V$8*Eingabemaske!$B$18),$C22,"0"))</f>
        <v>21.140909999999998</v>
      </c>
      <c r="FB22" s="222">
        <v>1241</v>
      </c>
      <c r="FC22" s="224">
        <f t="shared" si="46"/>
        <v>1542.4553250000001</v>
      </c>
      <c r="FD22" s="222">
        <v>1241</v>
      </c>
      <c r="FE22" s="226">
        <f t="shared" si="47"/>
        <v>21.140909999999998</v>
      </c>
      <c r="FF22" s="312">
        <v>1241</v>
      </c>
      <c r="FG22" s="286">
        <f>FA22*Wirtschaftlichkeit!$V$5/Wirtschaftlichkeit!$V$7</f>
        <v>10.246373415158184</v>
      </c>
      <c r="FH22" s="284">
        <f t="shared" si="48"/>
        <v>747.58244730946672</v>
      </c>
      <c r="FJ22" s="222">
        <v>1241</v>
      </c>
      <c r="FK22" s="225">
        <f>IF($C22&gt;=Wirtschaftlichkeit!$W$8,Wirtschaftlichkeit!$W$8,IF(AND($C22&lt;=Wirtschaftlichkeit!$W$8,$C22&gt;=Wirtschaftlichkeit!$W$8*Eingabemaske!$B$18),$C22,"0"))</f>
        <v>21.140909999999998</v>
      </c>
      <c r="FL22" s="222">
        <v>1241</v>
      </c>
      <c r="FM22" s="224">
        <f t="shared" si="49"/>
        <v>1542.4553250000001</v>
      </c>
      <c r="FN22" s="222">
        <v>1241</v>
      </c>
      <c r="FO22" s="226">
        <f t="shared" si="50"/>
        <v>21.140909999999998</v>
      </c>
      <c r="FP22" s="312">
        <v>1241</v>
      </c>
      <c r="FQ22" s="286">
        <f>FK22*Wirtschaftlichkeit!$W$5/Wirtschaftlichkeit!$W$7</f>
        <v>10.34213940765536</v>
      </c>
      <c r="FR22" s="284">
        <f t="shared" si="51"/>
        <v>754.56959994770125</v>
      </c>
      <c r="FT22" s="222">
        <v>1241</v>
      </c>
      <c r="FU22" s="225">
        <f>IF($C22&gt;=Wirtschaftlichkeit!$X$8,Wirtschaftlichkeit!$X$8,IF(AND($C22&lt;=Wirtschaftlichkeit!$X$8,$C22&gt;=Wirtschaftlichkeit!$X$8*Eingabemaske!$B$18),$C22,"0"))</f>
        <v>21.140909999999998</v>
      </c>
      <c r="FV22" s="222">
        <v>1241</v>
      </c>
      <c r="FW22" s="224">
        <f t="shared" si="52"/>
        <v>1542.4553250000001</v>
      </c>
      <c r="FX22" s="222">
        <v>1241</v>
      </c>
      <c r="FY22" s="226">
        <f t="shared" si="53"/>
        <v>21.140909999999998</v>
      </c>
      <c r="FZ22" s="312">
        <v>1241</v>
      </c>
      <c r="GA22" s="286">
        <f>FU22*Wirtschaftlichkeit!$X$5/Wirtschaftlichkeit!$X$7</f>
        <v>10.433522036986782</v>
      </c>
      <c r="GB22" s="284">
        <f t="shared" si="54"/>
        <v>761.23693939641726</v>
      </c>
      <c r="GD22" s="222">
        <v>1241</v>
      </c>
      <c r="GE22" s="225">
        <f>IF($C22&gt;=Wirtschaftlichkeit!$Y$8,Wirtschaftlichkeit!$Y$8,IF(AND($C22&lt;=Wirtschaftlichkeit!$Y$8,$C22&gt;=Wirtschaftlichkeit!$Y$8*Eingabemaske!$B$18),$C22,"0"))</f>
        <v>21.140909999999998</v>
      </c>
      <c r="GF22" s="222">
        <v>1241</v>
      </c>
      <c r="GG22" s="224">
        <f t="shared" si="55"/>
        <v>1542.4553250000001</v>
      </c>
      <c r="GH22" s="222">
        <v>1241</v>
      </c>
      <c r="GI22" s="226">
        <f t="shared" si="56"/>
        <v>21.140909999999998</v>
      </c>
      <c r="GJ22" s="312">
        <v>1241</v>
      </c>
      <c r="GK22" s="286">
        <f>GE22*Wirtschaftlichkeit!$Y$5/Wirtschaftlichkeit!$Y$7</f>
        <v>10.520953888042973</v>
      </c>
      <c r="GL22" s="284">
        <f t="shared" si="57"/>
        <v>767.61602734656833</v>
      </c>
      <c r="GN22" s="222">
        <v>1241</v>
      </c>
      <c r="GO22" s="225">
        <f>IF($C22&gt;=Wirtschaftlichkeit!$Z$8,Wirtschaftlichkeit!$Z$8,IF(AND($C22&lt;=Wirtschaftlichkeit!$Z$8,$C22&gt;=Wirtschaftlichkeit!$Z$8*Eingabemaske!$B$18),$C22,"0"))</f>
        <v>21.140909999999998</v>
      </c>
      <c r="GP22" s="222">
        <v>1241</v>
      </c>
      <c r="GQ22" s="224">
        <f t="shared" si="58"/>
        <v>1542.4553250000001</v>
      </c>
      <c r="GR22" s="222">
        <v>1241</v>
      </c>
      <c r="GS22" s="226">
        <f t="shared" si="59"/>
        <v>21.140909999999998</v>
      </c>
      <c r="GT22" s="312">
        <v>1241</v>
      </c>
      <c r="GU22" s="286">
        <f>GO22*Wirtschaftlichkeit!$Z$5/Wirtschaftlichkeit!$Z$7</f>
        <v>10.604804610134918</v>
      </c>
      <c r="GV22" s="284">
        <f t="shared" si="60"/>
        <v>773.7338336659659</v>
      </c>
      <c r="GW22" s="266"/>
      <c r="GX22" s="258">
        <v>1241</v>
      </c>
      <c r="GY22" s="270">
        <f>IF(Berechnung_Diagramme!$C$28=Berechnungen_Lastgang!$F$2,Berechnungen_Lastgang!G22,IF(Berechnung_Diagramme!$C$28=Berechnungen_Lastgang!$P$2,Berechnungen_Lastgang!Q22,IF(Berechnung_Diagramme!$C$28=Berechnungen_Lastgang!$Z$2,Berechnungen_Lastgang!AA22,IF(Berechnung_Diagramme!$C$28=Berechnungen_Lastgang!$AJ$2,Berechnungen_Lastgang!AK22,IF(Berechnung_Diagramme!$C$28=Berechnungen_Lastgang!$AT$2,Berechnungen_Lastgang!AU22,IF(Berechnung_Diagramme!$C$28=Berechnungen_Lastgang!$BD$2,Berechnungen_Lastgang!BE22,IF(Berechnung_Diagramme!$C$28=Berechnungen_Lastgang!$BN$2,Berechnungen_Lastgang!BO22,IF(Berechnung_Diagramme!$C$28=Berechnungen_Lastgang!$BX$2,Berechnungen_Lastgang!BY22,IF(Berechnung_Diagramme!$C$28=Berechnungen_Lastgang!$CH$2,Berechnungen_Lastgang!CI22,IF(Berechnung_Diagramme!$C$28=Berechnungen_Lastgang!$CR$2,Berechnungen_Lastgang!CS22,IF(Berechnung_Diagramme!$C$28=Berechnungen_Lastgang!$DB$2,Berechnungen_Lastgang!DC22,IF(Berechnung_Diagramme!$C$28=Berechnungen_Lastgang!$DL$2,Berechnungen_Lastgang!DM22,IF(Berechnung_Diagramme!$C$28=Berechnungen_Lastgang!$DV$2,Berechnungen_Lastgang!DW22,IF(Berechnung_Diagramme!$C$28=Berechnungen_Lastgang!$EF$2,Berechnungen_Lastgang!EG22,IF(Berechnung_Diagramme!$C$28=Berechnungen_Lastgang!$EP$2,Berechnungen_Lastgang!EQ22,IF(Berechnung_Diagramme!$C$28=Berechnungen_Lastgang!$EZ$2,Berechnungen_Lastgang!FA22,IF(Berechnung_Diagramme!$C$28=Berechnungen_Lastgang!$FJ$2,Berechnungen_Lastgang!FK22,IF(Berechnung_Diagramme!$C$28=Berechnungen_Lastgang!$FT$2,Berechnungen_Lastgang!FU22,IF(Berechnung_Diagramme!$C$28=Berechnungen_Lastgang!$GD$2,Berechnungen_Lastgang!GE22,IF(Berechnung_Diagramme!$C$28=Berechnungen_Lastgang!$GN$2,Berechnungen_Lastgang!GO22,""))))))))))))))))))))</f>
        <v>20.966443256074175</v>
      </c>
    </row>
    <row r="23" spans="2:207" ht="14.45" x14ac:dyDescent="0.3">
      <c r="B23" s="64">
        <v>1314</v>
      </c>
      <c r="C23" s="67">
        <f>C22+((C25-C22)/(B25-B22))*(B23-B22)</f>
        <v>21.11814</v>
      </c>
      <c r="D23" s="66">
        <f t="shared" si="0"/>
        <v>1540.7931149999999</v>
      </c>
      <c r="F23" s="64">
        <v>1314</v>
      </c>
      <c r="G23" s="225">
        <f>IF($C23&gt;=Wirtschaftlichkeit!$G$8,Wirtschaftlichkeit!$G$8,IF(AND($C23&lt;=Wirtschaftlichkeit!$G$8,$C23&gt;=Wirtschaftlichkeit!$G$8*Eingabemaske!$B$18),$C23,"0"))</f>
        <v>2.8333333333333335</v>
      </c>
      <c r="H23" s="64">
        <v>1314</v>
      </c>
      <c r="I23" s="66">
        <f t="shared" si="1"/>
        <v>206.83333333333334</v>
      </c>
      <c r="J23" s="64">
        <v>1314</v>
      </c>
      <c r="K23" s="71">
        <f t="shared" si="2"/>
        <v>2.8333333333333335</v>
      </c>
      <c r="L23" s="312">
        <v>1314</v>
      </c>
      <c r="M23" s="286">
        <f>G23*Wirtschaftlichkeit!$G$5/Wirtschaftlichkeit!$G$7</f>
        <v>1</v>
      </c>
      <c r="N23" s="284">
        <f t="shared" si="3"/>
        <v>73</v>
      </c>
      <c r="P23" s="222">
        <v>1314</v>
      </c>
      <c r="Q23" s="225">
        <f>IF($C23&gt;=Wirtschaftlichkeit!$H$8,Wirtschaftlichkeit!$H$8,IF(AND($C23&lt;=Wirtschaftlichkeit!$H$8,$C23&gt;=Wirtschaftlichkeit!$H$8*Eingabemaske!$B$18),$C23,"0"))</f>
        <v>5.5876288659793811</v>
      </c>
      <c r="R23" s="222">
        <v>1314</v>
      </c>
      <c r="S23" s="224">
        <f t="shared" si="4"/>
        <v>407.89690721649481</v>
      </c>
      <c r="T23" s="222">
        <v>1314</v>
      </c>
      <c r="U23" s="226">
        <f t="shared" si="5"/>
        <v>5.5876288659793811</v>
      </c>
      <c r="V23" s="312">
        <v>1314</v>
      </c>
      <c r="W23" s="286">
        <f>Q23*Wirtschaftlichkeit!$H$5/Wirtschaftlichkeit!$H$7</f>
        <v>2</v>
      </c>
      <c r="X23" s="284">
        <f t="shared" si="6"/>
        <v>146</v>
      </c>
      <c r="Z23" s="222">
        <v>1314</v>
      </c>
      <c r="AA23" s="225">
        <f>IF($C23&gt;=Wirtschaftlichkeit!$I$8,Wirtschaftlichkeit!$I$8,IF(AND($C23&lt;=Wirtschaftlichkeit!$I$8,$C23&gt;=Wirtschaftlichkeit!$I$8*Eingabemaske!$B$18),$C23,"0"))</f>
        <v>8.2471643149712612</v>
      </c>
      <c r="AB23" s="222">
        <v>1314</v>
      </c>
      <c r="AC23" s="224">
        <f t="shared" si="7"/>
        <v>602.04299499290209</v>
      </c>
      <c r="AD23" s="222">
        <v>1314</v>
      </c>
      <c r="AE23" s="226">
        <f t="shared" si="8"/>
        <v>8.2471643149712612</v>
      </c>
      <c r="AF23" s="312">
        <v>1314</v>
      </c>
      <c r="AG23" s="286">
        <f>AA23*Wirtschaftlichkeit!$I$5/Wirtschaftlichkeit!$I$7</f>
        <v>3.0000000000000004</v>
      </c>
      <c r="AH23" s="284">
        <f t="shared" si="9"/>
        <v>219.00000000000003</v>
      </c>
      <c r="AJ23" s="222">
        <v>1314</v>
      </c>
      <c r="AK23" s="225">
        <f>IF($C23&gt;=Wirtschaftlichkeit!$J$8,Wirtschaftlichkeit!$J$8,IF(AND($C23&lt;=Wirtschaftlichkeit!$J$8,$C23&gt;=Wirtschaftlichkeit!$J$8*Eingabemaske!$B$18),$C23,"0"))</f>
        <v>10.537455322965799</v>
      </c>
      <c r="AL23" s="222">
        <v>1314</v>
      </c>
      <c r="AM23" s="224">
        <f t="shared" si="10"/>
        <v>769.23423857650334</v>
      </c>
      <c r="AN23" s="222">
        <v>1314</v>
      </c>
      <c r="AO23" s="226">
        <f t="shared" si="11"/>
        <v>10.537455322965799</v>
      </c>
      <c r="AP23" s="312">
        <v>1314</v>
      </c>
      <c r="AQ23" s="286">
        <f>AK23*Wirtschaftlichkeit!$J$5/Wirtschaftlichkeit!$J$7</f>
        <v>4</v>
      </c>
      <c r="AR23" s="284">
        <f t="shared" si="12"/>
        <v>292</v>
      </c>
      <c r="AT23" s="222">
        <v>1314</v>
      </c>
      <c r="AU23" s="225">
        <f>IF($C23&gt;=Wirtschaftlichkeit!$K$8,Wirtschaftlichkeit!$K$8,IF(AND($C23&lt;=Wirtschaftlichkeit!$K$8,$C23&gt;=Wirtschaftlichkeit!$K$8*Eingabemaske!$B$18),$C23,"0"))</f>
        <v>12.739122166763016</v>
      </c>
      <c r="AV23" s="222">
        <v>1314</v>
      </c>
      <c r="AW23" s="224">
        <f t="shared" si="13"/>
        <v>929.95591817370018</v>
      </c>
      <c r="AX23" s="222">
        <v>1314</v>
      </c>
      <c r="AY23" s="226">
        <f t="shared" si="14"/>
        <v>12.739122166763016</v>
      </c>
      <c r="AZ23" s="312">
        <v>1314</v>
      </c>
      <c r="BA23" s="286">
        <f>AU23*Wirtschaftlichkeit!$K$5/Wirtschaftlichkeit!$K$7</f>
        <v>5</v>
      </c>
      <c r="BB23" s="284">
        <f t="shared" si="15"/>
        <v>365</v>
      </c>
      <c r="BD23" s="222">
        <v>1314</v>
      </c>
      <c r="BE23" s="225">
        <f>IF($C23&gt;=Wirtschaftlichkeit!$L$8,Wirtschaftlichkeit!$L$8,IF(AND($C23&lt;=Wirtschaftlichkeit!$L$8,$C23&gt;=Wirtschaftlichkeit!$L$8*Eingabemaske!$B$18),$C23,"0"))</f>
        <v>14.87189090675227</v>
      </c>
      <c r="BF23" s="222">
        <v>1314</v>
      </c>
      <c r="BG23" s="224">
        <f t="shared" si="16"/>
        <v>1085.6480361929157</v>
      </c>
      <c r="BH23" s="222">
        <v>1314</v>
      </c>
      <c r="BI23" s="226">
        <f t="shared" si="17"/>
        <v>14.87189090675227</v>
      </c>
      <c r="BJ23" s="312">
        <v>1314</v>
      </c>
      <c r="BK23" s="286">
        <f>BE23*Wirtschaftlichkeit!$L$5/Wirtschaftlichkeit!$L$7</f>
        <v>6</v>
      </c>
      <c r="BL23" s="284">
        <f t="shared" si="18"/>
        <v>438</v>
      </c>
      <c r="BN23" s="222">
        <v>1314</v>
      </c>
      <c r="BO23" s="225">
        <f>IF($C23&gt;=Wirtschaftlichkeit!$M$8,Wirtschaftlichkeit!$M$8,IF(AND($C23&lt;=Wirtschaftlichkeit!$M$8,$C23&gt;=Wirtschaftlichkeit!$M$8*Eingabemaske!$B$18),$C23,"0"))</f>
        <v>16.948500863015312</v>
      </c>
      <c r="BP23" s="222">
        <v>1314</v>
      </c>
      <c r="BQ23" s="224">
        <f t="shared" si="19"/>
        <v>1237.2405630001178</v>
      </c>
      <c r="BR23" s="222">
        <v>1314</v>
      </c>
      <c r="BS23" s="226">
        <f t="shared" si="20"/>
        <v>16.948500863015312</v>
      </c>
      <c r="BT23" s="312">
        <v>1314</v>
      </c>
      <c r="BU23" s="286">
        <f>BO23*Wirtschaftlichkeit!$M$5/Wirtschaftlichkeit!$M$7</f>
        <v>7</v>
      </c>
      <c r="BV23" s="284">
        <f t="shared" si="21"/>
        <v>511</v>
      </c>
      <c r="BX23" s="222">
        <v>1314</v>
      </c>
      <c r="BY23" s="225">
        <f>IF($C23&gt;=Wirtschaftlichkeit!$N$8,Wirtschaftlichkeit!$N$8,IF(AND($C23&lt;=Wirtschaftlichkeit!$N$8,$C23&gt;=Wirtschaftlichkeit!$N$8*Eingabemaske!$B$18),$C23,"0"))</f>
        <v>18.977838419132468</v>
      </c>
      <c r="BZ23" s="222">
        <v>1314</v>
      </c>
      <c r="CA23" s="224">
        <f t="shared" si="22"/>
        <v>1385.3822045966701</v>
      </c>
      <c r="CB23" s="222">
        <v>1314</v>
      </c>
      <c r="CC23" s="226">
        <f t="shared" si="23"/>
        <v>18.977838419132468</v>
      </c>
      <c r="CD23" s="312">
        <v>1314</v>
      </c>
      <c r="CE23" s="286">
        <f>BY23*Wirtschaftlichkeit!$N$5/Wirtschaftlichkeit!$N$7</f>
        <v>8</v>
      </c>
      <c r="CF23" s="284">
        <f t="shared" si="24"/>
        <v>584</v>
      </c>
      <c r="CH23" s="222">
        <v>1314</v>
      </c>
      <c r="CI23" s="225">
        <f>IF($C23&gt;=Wirtschaftlichkeit!$O$8,Wirtschaftlichkeit!$O$8,IF(AND($C23&lt;=Wirtschaftlichkeit!$O$8,$C23&gt;=Wirtschaftlichkeit!$O$8*Eingabemaske!$B$18),$C23,"0"))</f>
        <v>20.966443256074175</v>
      </c>
      <c r="CJ23" s="222">
        <v>1314</v>
      </c>
      <c r="CK23" s="224">
        <f t="shared" si="25"/>
        <v>1530.5503576934148</v>
      </c>
      <c r="CL23" s="222">
        <v>1314</v>
      </c>
      <c r="CM23" s="226">
        <f t="shared" si="26"/>
        <v>20.966443256074175</v>
      </c>
      <c r="CN23" s="312">
        <v>1314</v>
      </c>
      <c r="CO23" s="286">
        <f>CI23*Wirtschaftlichkeit!$O$5/Wirtschaftlichkeit!$O$7</f>
        <v>9</v>
      </c>
      <c r="CP23" s="284">
        <f t="shared" si="27"/>
        <v>657</v>
      </c>
      <c r="CR23" s="222">
        <v>1314</v>
      </c>
      <c r="CS23" s="225">
        <f>IF($C23&gt;=Wirtschaftlichkeit!$P$8,Wirtschaftlichkeit!$P$8,IF(AND($C23&lt;=Wirtschaftlichkeit!$P$8,$C23&gt;=Wirtschaftlichkeit!$P$8*Eingabemaske!$B$18),$C23,"0"))</f>
        <v>21.11814</v>
      </c>
      <c r="CT23" s="222">
        <v>1314</v>
      </c>
      <c r="CU23" s="224">
        <f t="shared" si="28"/>
        <v>1540.7931149999999</v>
      </c>
      <c r="CV23" s="222">
        <v>1314</v>
      </c>
      <c r="CW23" s="226">
        <f t="shared" si="29"/>
        <v>21.11814</v>
      </c>
      <c r="CX23" s="312">
        <v>1314</v>
      </c>
      <c r="CY23" s="286">
        <f>CS23*Wirtschaftlichkeit!$P$5/Wirtschaftlichkeit!$P$7</f>
        <v>9.2141207684895967</v>
      </c>
      <c r="CZ23" s="284">
        <f t="shared" si="30"/>
        <v>672.26819411497786</v>
      </c>
      <c r="DB23" s="222">
        <v>1314</v>
      </c>
      <c r="DC23" s="225">
        <f>IF($C23&gt;=Wirtschaftlichkeit!$Q$8,Wirtschaftlichkeit!$Q$8,IF(AND($C23&lt;=Wirtschaftlichkeit!$Q$8,$C23&gt;=Wirtschaftlichkeit!$Q$8*Eingabemaske!$B$18),$C23,"0"))</f>
        <v>21.11814</v>
      </c>
      <c r="DD23" s="222">
        <v>1314</v>
      </c>
      <c r="DE23" s="224">
        <f t="shared" si="31"/>
        <v>1540.7931149999999</v>
      </c>
      <c r="DF23" s="222">
        <v>1314</v>
      </c>
      <c r="DG23" s="226">
        <f t="shared" si="32"/>
        <v>21.11814</v>
      </c>
      <c r="DH23" s="312">
        <v>1314</v>
      </c>
      <c r="DI23" s="286">
        <f>DC23*Wirtschaftlichkeit!$Q$5/Wirtschaftlichkeit!$Q$7</f>
        <v>9.6693498783139091</v>
      </c>
      <c r="DJ23" s="284">
        <f t="shared" si="33"/>
        <v>705.48200357759538</v>
      </c>
      <c r="DL23" s="222">
        <v>1314</v>
      </c>
      <c r="DM23" s="225">
        <f>IF($C23&gt;=Wirtschaftlichkeit!$R$8,Wirtschaftlichkeit!$R$8,IF(AND($C23&lt;=Wirtschaftlichkeit!$R$8,$C23&gt;=Wirtschaftlichkeit!$R$8*Eingabemaske!$B$18),$C23,"0"))</f>
        <v>21.11814</v>
      </c>
      <c r="DN23" s="222">
        <v>1314</v>
      </c>
      <c r="DO23" s="224">
        <f t="shared" si="34"/>
        <v>1540.7931149999999</v>
      </c>
      <c r="DP23" s="222">
        <v>1314</v>
      </c>
      <c r="DQ23" s="226">
        <f t="shared" si="35"/>
        <v>21.11814</v>
      </c>
      <c r="DR23" s="312">
        <v>1314</v>
      </c>
      <c r="DS23" s="286">
        <f>DM23*Wirtschaftlichkeit!$R$5/Wirtschaftlichkeit!$R$7</f>
        <v>9.7970291289140459</v>
      </c>
      <c r="DT23" s="284">
        <f t="shared" si="36"/>
        <v>714.79756405086869</v>
      </c>
      <c r="DV23" s="222">
        <v>1314</v>
      </c>
      <c r="DW23" s="225">
        <f>IF($C23&gt;=Wirtschaftlichkeit!$S$8,Wirtschaftlichkeit!$S$8,IF(AND($C23&lt;=Wirtschaftlichkeit!$S$8,$C23&gt;=Wirtschaftlichkeit!$S$8*Eingabemaske!$B$18),$C23,"0"))</f>
        <v>21.11814</v>
      </c>
      <c r="DX23" s="222">
        <v>1314</v>
      </c>
      <c r="DY23" s="224">
        <f t="shared" si="37"/>
        <v>1540.7931149999999</v>
      </c>
      <c r="DZ23" s="222">
        <v>1314</v>
      </c>
      <c r="EA23" s="226">
        <f t="shared" si="38"/>
        <v>21.11814</v>
      </c>
      <c r="EB23" s="312">
        <v>1314</v>
      </c>
      <c r="EC23" s="286">
        <f>DW23*Wirtschaftlichkeit!$S$5/Wirtschaftlichkeit!$S$7</f>
        <v>9.9164502595863198</v>
      </c>
      <c r="ED23" s="284">
        <f t="shared" si="39"/>
        <v>723.51060676795225</v>
      </c>
      <c r="EF23" s="222">
        <v>1314</v>
      </c>
      <c r="EG23" s="225">
        <f>IF($C23&gt;=Wirtschaftlichkeit!$T$8,Wirtschaftlichkeit!$T$8,IF(AND($C23&lt;=Wirtschaftlichkeit!$T$8,$C23&gt;=Wirtschaftlichkeit!$T$8*Eingabemaske!$B$18),$C23,"0"))</f>
        <v>21.11814</v>
      </c>
      <c r="EH23" s="222">
        <v>1314</v>
      </c>
      <c r="EI23" s="224">
        <f t="shared" si="40"/>
        <v>1540.7931149999999</v>
      </c>
      <c r="EJ23" s="222">
        <v>1314</v>
      </c>
      <c r="EK23" s="226">
        <f t="shared" si="41"/>
        <v>21.11814</v>
      </c>
      <c r="EL23" s="312">
        <v>1314</v>
      </c>
      <c r="EM23" s="286">
        <f>EG23*Wirtschaftlichkeit!$T$5/Wirtschaftlichkeit!$T$7</f>
        <v>10.028735189121694</v>
      </c>
      <c r="EN23" s="284">
        <f t="shared" si="42"/>
        <v>731.70298764744098</v>
      </c>
      <c r="EP23" s="222">
        <v>1314</v>
      </c>
      <c r="EQ23" s="225">
        <f>IF($C23&gt;=Wirtschaftlichkeit!$U$8,Wirtschaftlichkeit!$U$8,IF(AND($C23&lt;=Wirtschaftlichkeit!$U$8,$C23&gt;=Wirtschaftlichkeit!$U$8*Eingabemaske!$B$18),$C23,"0"))</f>
        <v>21.11814</v>
      </c>
      <c r="ER23" s="222">
        <v>1314</v>
      </c>
      <c r="ES23" s="224">
        <f t="shared" si="43"/>
        <v>1540.7931149999999</v>
      </c>
      <c r="ET23" s="222">
        <v>1314</v>
      </c>
      <c r="EU23" s="226">
        <f t="shared" si="44"/>
        <v>21.11814</v>
      </c>
      <c r="EV23" s="312">
        <v>1314</v>
      </c>
      <c r="EW23" s="286">
        <f>EQ23*Wirtschaftlichkeit!$U$5/Wirtschaftlichkeit!$U$7</f>
        <v>10.134785541058044</v>
      </c>
      <c r="EX23" s="284">
        <f t="shared" si="45"/>
        <v>739.44048972417943</v>
      </c>
      <c r="EZ23" s="222">
        <v>1314</v>
      </c>
      <c r="FA23" s="225">
        <f>IF($C23&gt;=Wirtschaftlichkeit!$V$8,Wirtschaftlichkeit!$V$8,IF(AND($C23&lt;=Wirtschaftlichkeit!$V$8,$C23&gt;=Wirtschaftlichkeit!$V$8*Eingabemaske!$B$18),$C23,"0"))</f>
        <v>21.11814</v>
      </c>
      <c r="FB23" s="222">
        <v>1314</v>
      </c>
      <c r="FC23" s="224">
        <f t="shared" si="46"/>
        <v>1540.7931149999999</v>
      </c>
      <c r="FD23" s="222">
        <v>1314</v>
      </c>
      <c r="FE23" s="226">
        <f t="shared" si="47"/>
        <v>21.11814</v>
      </c>
      <c r="FF23" s="312">
        <v>1314</v>
      </c>
      <c r="FG23" s="286">
        <f>FA23*Wirtschaftlichkeit!$V$5/Wirtschaftlichkeit!$V$7</f>
        <v>10.235337470032684</v>
      </c>
      <c r="FH23" s="284">
        <f t="shared" si="48"/>
        <v>746.77682331530525</v>
      </c>
      <c r="FJ23" s="222">
        <v>1314</v>
      </c>
      <c r="FK23" s="225">
        <f>IF($C23&gt;=Wirtschaftlichkeit!$W$8,Wirtschaftlichkeit!$W$8,IF(AND($C23&lt;=Wirtschaftlichkeit!$W$8,$C23&gt;=Wirtschaftlichkeit!$W$8*Eingabemaske!$B$18),$C23,"0"))</f>
        <v>21.11814</v>
      </c>
      <c r="FL23" s="222">
        <v>1314</v>
      </c>
      <c r="FM23" s="224">
        <f t="shared" si="49"/>
        <v>1540.7931149999999</v>
      </c>
      <c r="FN23" s="222">
        <v>1314</v>
      </c>
      <c r="FO23" s="226">
        <f t="shared" si="50"/>
        <v>21.11814</v>
      </c>
      <c r="FP23" s="312">
        <v>1314</v>
      </c>
      <c r="FQ23" s="286">
        <f>FK23*Wirtschaftlichkeit!$W$5/Wirtschaftlichkeit!$W$7</f>
        <v>10.331000316939194</v>
      </c>
      <c r="FR23" s="284">
        <f t="shared" si="51"/>
        <v>753.75644632542105</v>
      </c>
      <c r="FT23" s="222">
        <v>1314</v>
      </c>
      <c r="FU23" s="225">
        <f>IF($C23&gt;=Wirtschaftlichkeit!$X$8,Wirtschaftlichkeit!$X$8,IF(AND($C23&lt;=Wirtschaftlichkeit!$X$8,$C23&gt;=Wirtschaftlichkeit!$X$8*Eingabemaske!$B$18),$C23,"0"))</f>
        <v>21.11814</v>
      </c>
      <c r="FV23" s="222">
        <v>1314</v>
      </c>
      <c r="FW23" s="224">
        <f t="shared" si="52"/>
        <v>1540.7931149999999</v>
      </c>
      <c r="FX23" s="222">
        <v>1314</v>
      </c>
      <c r="FY23" s="226">
        <f t="shared" si="53"/>
        <v>21.11814</v>
      </c>
      <c r="FZ23" s="312">
        <v>1314</v>
      </c>
      <c r="GA23" s="286">
        <f>FU23*Wirtschaftlichkeit!$X$5/Wirtschaftlichkeit!$X$7</f>
        <v>10.422284521819169</v>
      </c>
      <c r="GB23" s="284">
        <f t="shared" si="54"/>
        <v>760.41660078918142</v>
      </c>
      <c r="GD23" s="222">
        <v>1314</v>
      </c>
      <c r="GE23" s="225">
        <f>IF($C23&gt;=Wirtschaftlichkeit!$Y$8,Wirtschaftlichkeit!$Y$8,IF(AND($C23&lt;=Wirtschaftlichkeit!$Y$8,$C23&gt;=Wirtschaftlichkeit!$Y$8*Eingabemaske!$B$18),$C23,"0"))</f>
        <v>21.11814</v>
      </c>
      <c r="GF23" s="222">
        <v>1314</v>
      </c>
      <c r="GG23" s="224">
        <f t="shared" si="55"/>
        <v>1540.7931149999999</v>
      </c>
      <c r="GH23" s="222">
        <v>1314</v>
      </c>
      <c r="GI23" s="226">
        <f t="shared" si="56"/>
        <v>21.11814</v>
      </c>
      <c r="GJ23" s="312">
        <v>1314</v>
      </c>
      <c r="GK23" s="286">
        <f>GE23*Wirtschaftlichkeit!$Y$5/Wirtschaftlichkeit!$Y$7</f>
        <v>10.509622203643829</v>
      </c>
      <c r="GL23" s="284">
        <f t="shared" si="57"/>
        <v>766.78881438543067</v>
      </c>
      <c r="GN23" s="222">
        <v>1314</v>
      </c>
      <c r="GO23" s="225">
        <f>IF($C23&gt;=Wirtschaftlichkeit!$Z$8,Wirtschaftlichkeit!$Z$8,IF(AND($C23&lt;=Wirtschaftlichkeit!$Z$8,$C23&gt;=Wirtschaftlichkeit!$Z$8*Eingabemaske!$B$18),$C23,"0"))</f>
        <v>21.11814</v>
      </c>
      <c r="GP23" s="222">
        <v>1314</v>
      </c>
      <c r="GQ23" s="224">
        <f t="shared" si="58"/>
        <v>1540.7931149999999</v>
      </c>
      <c r="GR23" s="222">
        <v>1314</v>
      </c>
      <c r="GS23" s="226">
        <f t="shared" si="59"/>
        <v>21.11814</v>
      </c>
      <c r="GT23" s="312">
        <v>1314</v>
      </c>
      <c r="GU23" s="286">
        <f>GO23*Wirtschaftlichkeit!$Z$5/Wirtschaftlichkeit!$Z$7</f>
        <v>10.593382613590174</v>
      </c>
      <c r="GV23" s="284">
        <f t="shared" si="60"/>
        <v>772.90002791819961</v>
      </c>
      <c r="GW23" s="266"/>
      <c r="GX23" s="258">
        <v>1314</v>
      </c>
      <c r="GY23" s="270">
        <f>IF(Berechnung_Diagramme!$C$28=Berechnungen_Lastgang!$F$2,Berechnungen_Lastgang!G23,IF(Berechnung_Diagramme!$C$28=Berechnungen_Lastgang!$P$2,Berechnungen_Lastgang!Q23,IF(Berechnung_Diagramme!$C$28=Berechnungen_Lastgang!$Z$2,Berechnungen_Lastgang!AA23,IF(Berechnung_Diagramme!$C$28=Berechnungen_Lastgang!$AJ$2,Berechnungen_Lastgang!AK23,IF(Berechnung_Diagramme!$C$28=Berechnungen_Lastgang!$AT$2,Berechnungen_Lastgang!AU23,IF(Berechnung_Diagramme!$C$28=Berechnungen_Lastgang!$BD$2,Berechnungen_Lastgang!BE23,IF(Berechnung_Diagramme!$C$28=Berechnungen_Lastgang!$BN$2,Berechnungen_Lastgang!BO23,IF(Berechnung_Diagramme!$C$28=Berechnungen_Lastgang!$BX$2,Berechnungen_Lastgang!BY23,IF(Berechnung_Diagramme!$C$28=Berechnungen_Lastgang!$CH$2,Berechnungen_Lastgang!CI23,IF(Berechnung_Diagramme!$C$28=Berechnungen_Lastgang!$CR$2,Berechnungen_Lastgang!CS23,IF(Berechnung_Diagramme!$C$28=Berechnungen_Lastgang!$DB$2,Berechnungen_Lastgang!DC23,IF(Berechnung_Diagramme!$C$28=Berechnungen_Lastgang!$DL$2,Berechnungen_Lastgang!DM23,IF(Berechnung_Diagramme!$C$28=Berechnungen_Lastgang!$DV$2,Berechnungen_Lastgang!DW23,IF(Berechnung_Diagramme!$C$28=Berechnungen_Lastgang!$EF$2,Berechnungen_Lastgang!EG23,IF(Berechnung_Diagramme!$C$28=Berechnungen_Lastgang!$EP$2,Berechnungen_Lastgang!EQ23,IF(Berechnung_Diagramme!$C$28=Berechnungen_Lastgang!$EZ$2,Berechnungen_Lastgang!FA23,IF(Berechnung_Diagramme!$C$28=Berechnungen_Lastgang!$FJ$2,Berechnungen_Lastgang!FK23,IF(Berechnung_Diagramme!$C$28=Berechnungen_Lastgang!$FT$2,Berechnungen_Lastgang!FU23,IF(Berechnung_Diagramme!$C$28=Berechnungen_Lastgang!$GD$2,Berechnungen_Lastgang!GE23,IF(Berechnung_Diagramme!$C$28=Berechnungen_Lastgang!$GN$2,Berechnungen_Lastgang!GO23,""))))))))))))))))))))</f>
        <v>20.966443256074175</v>
      </c>
    </row>
    <row r="24" spans="2:207" ht="14.45" x14ac:dyDescent="0.3">
      <c r="B24" s="64">
        <v>1387</v>
      </c>
      <c r="C24" s="67">
        <f>C23+((C25-C23)/(B25-B23))*(B24-B23)</f>
        <v>21.095370000000003</v>
      </c>
      <c r="D24" s="66">
        <f t="shared" si="0"/>
        <v>1539.1309050000002</v>
      </c>
      <c r="F24" s="64">
        <v>1387</v>
      </c>
      <c r="G24" s="225">
        <f>IF($C24&gt;=Wirtschaftlichkeit!$G$8,Wirtschaftlichkeit!$G$8,IF(AND($C24&lt;=Wirtschaftlichkeit!$G$8,$C24&gt;=Wirtschaftlichkeit!$G$8*Eingabemaske!$B$18),$C24,"0"))</f>
        <v>2.8333333333333335</v>
      </c>
      <c r="H24" s="64">
        <v>1387</v>
      </c>
      <c r="I24" s="66">
        <f t="shared" si="1"/>
        <v>206.83333333333334</v>
      </c>
      <c r="J24" s="64">
        <v>1387</v>
      </c>
      <c r="K24" s="71">
        <f t="shared" si="2"/>
        <v>2.8333333333333335</v>
      </c>
      <c r="L24" s="312">
        <v>1387</v>
      </c>
      <c r="M24" s="286">
        <f>G24*Wirtschaftlichkeit!$G$5/Wirtschaftlichkeit!$G$7</f>
        <v>1</v>
      </c>
      <c r="N24" s="284">
        <f t="shared" si="3"/>
        <v>73</v>
      </c>
      <c r="P24" s="222">
        <v>1387</v>
      </c>
      <c r="Q24" s="225">
        <f>IF($C24&gt;=Wirtschaftlichkeit!$H$8,Wirtschaftlichkeit!$H$8,IF(AND($C24&lt;=Wirtschaftlichkeit!$H$8,$C24&gt;=Wirtschaftlichkeit!$H$8*Eingabemaske!$B$18),$C24,"0"))</f>
        <v>5.5876288659793811</v>
      </c>
      <c r="R24" s="222">
        <v>1387</v>
      </c>
      <c r="S24" s="224">
        <f t="shared" si="4"/>
        <v>407.89690721649481</v>
      </c>
      <c r="T24" s="222">
        <v>1387</v>
      </c>
      <c r="U24" s="226">
        <f t="shared" si="5"/>
        <v>5.5876288659793811</v>
      </c>
      <c r="V24" s="312">
        <v>1387</v>
      </c>
      <c r="W24" s="286">
        <f>Q24*Wirtschaftlichkeit!$H$5/Wirtschaftlichkeit!$H$7</f>
        <v>2</v>
      </c>
      <c r="X24" s="284">
        <f t="shared" si="6"/>
        <v>146</v>
      </c>
      <c r="Z24" s="222">
        <v>1387</v>
      </c>
      <c r="AA24" s="225">
        <f>IF($C24&gt;=Wirtschaftlichkeit!$I$8,Wirtschaftlichkeit!$I$8,IF(AND($C24&lt;=Wirtschaftlichkeit!$I$8,$C24&gt;=Wirtschaftlichkeit!$I$8*Eingabemaske!$B$18),$C24,"0"))</f>
        <v>8.2471643149712612</v>
      </c>
      <c r="AB24" s="222">
        <v>1387</v>
      </c>
      <c r="AC24" s="224">
        <f t="shared" si="7"/>
        <v>602.04299499290209</v>
      </c>
      <c r="AD24" s="222">
        <v>1387</v>
      </c>
      <c r="AE24" s="226">
        <f t="shared" si="8"/>
        <v>8.2471643149712612</v>
      </c>
      <c r="AF24" s="312">
        <v>1387</v>
      </c>
      <c r="AG24" s="286">
        <f>AA24*Wirtschaftlichkeit!$I$5/Wirtschaftlichkeit!$I$7</f>
        <v>3.0000000000000004</v>
      </c>
      <c r="AH24" s="284">
        <f t="shared" si="9"/>
        <v>219.00000000000003</v>
      </c>
      <c r="AJ24" s="222">
        <v>1387</v>
      </c>
      <c r="AK24" s="225">
        <f>IF($C24&gt;=Wirtschaftlichkeit!$J$8,Wirtschaftlichkeit!$J$8,IF(AND($C24&lt;=Wirtschaftlichkeit!$J$8,$C24&gt;=Wirtschaftlichkeit!$J$8*Eingabemaske!$B$18),$C24,"0"))</f>
        <v>10.537455322965799</v>
      </c>
      <c r="AL24" s="222">
        <v>1387</v>
      </c>
      <c r="AM24" s="224">
        <f t="shared" si="10"/>
        <v>769.23423857650334</v>
      </c>
      <c r="AN24" s="222">
        <v>1387</v>
      </c>
      <c r="AO24" s="226">
        <f t="shared" si="11"/>
        <v>10.537455322965799</v>
      </c>
      <c r="AP24" s="312">
        <v>1387</v>
      </c>
      <c r="AQ24" s="286">
        <f>AK24*Wirtschaftlichkeit!$J$5/Wirtschaftlichkeit!$J$7</f>
        <v>4</v>
      </c>
      <c r="AR24" s="284">
        <f t="shared" si="12"/>
        <v>292</v>
      </c>
      <c r="AT24" s="222">
        <v>1387</v>
      </c>
      <c r="AU24" s="225">
        <f>IF($C24&gt;=Wirtschaftlichkeit!$K$8,Wirtschaftlichkeit!$K$8,IF(AND($C24&lt;=Wirtschaftlichkeit!$K$8,$C24&gt;=Wirtschaftlichkeit!$K$8*Eingabemaske!$B$18),$C24,"0"))</f>
        <v>12.739122166763016</v>
      </c>
      <c r="AV24" s="222">
        <v>1387</v>
      </c>
      <c r="AW24" s="224">
        <f t="shared" si="13"/>
        <v>929.95591817370018</v>
      </c>
      <c r="AX24" s="222">
        <v>1387</v>
      </c>
      <c r="AY24" s="226">
        <f t="shared" si="14"/>
        <v>12.739122166763016</v>
      </c>
      <c r="AZ24" s="312">
        <v>1387</v>
      </c>
      <c r="BA24" s="286">
        <f>AU24*Wirtschaftlichkeit!$K$5/Wirtschaftlichkeit!$K$7</f>
        <v>5</v>
      </c>
      <c r="BB24" s="284">
        <f t="shared" si="15"/>
        <v>365</v>
      </c>
      <c r="BD24" s="222">
        <v>1387</v>
      </c>
      <c r="BE24" s="225">
        <f>IF($C24&gt;=Wirtschaftlichkeit!$L$8,Wirtschaftlichkeit!$L$8,IF(AND($C24&lt;=Wirtschaftlichkeit!$L$8,$C24&gt;=Wirtschaftlichkeit!$L$8*Eingabemaske!$B$18),$C24,"0"))</f>
        <v>14.87189090675227</v>
      </c>
      <c r="BF24" s="222">
        <v>1387</v>
      </c>
      <c r="BG24" s="224">
        <f t="shared" si="16"/>
        <v>1085.6480361929157</v>
      </c>
      <c r="BH24" s="222">
        <v>1387</v>
      </c>
      <c r="BI24" s="226">
        <f t="shared" si="17"/>
        <v>14.87189090675227</v>
      </c>
      <c r="BJ24" s="312">
        <v>1387</v>
      </c>
      <c r="BK24" s="286">
        <f>BE24*Wirtschaftlichkeit!$L$5/Wirtschaftlichkeit!$L$7</f>
        <v>6</v>
      </c>
      <c r="BL24" s="284">
        <f t="shared" si="18"/>
        <v>438</v>
      </c>
      <c r="BN24" s="222">
        <v>1387</v>
      </c>
      <c r="BO24" s="225">
        <f>IF($C24&gt;=Wirtschaftlichkeit!$M$8,Wirtschaftlichkeit!$M$8,IF(AND($C24&lt;=Wirtschaftlichkeit!$M$8,$C24&gt;=Wirtschaftlichkeit!$M$8*Eingabemaske!$B$18),$C24,"0"))</f>
        <v>16.948500863015312</v>
      </c>
      <c r="BP24" s="222">
        <v>1387</v>
      </c>
      <c r="BQ24" s="224">
        <f t="shared" si="19"/>
        <v>1237.2405630001178</v>
      </c>
      <c r="BR24" s="222">
        <v>1387</v>
      </c>
      <c r="BS24" s="226">
        <f t="shared" si="20"/>
        <v>16.948500863015312</v>
      </c>
      <c r="BT24" s="312">
        <v>1387</v>
      </c>
      <c r="BU24" s="286">
        <f>BO24*Wirtschaftlichkeit!$M$5/Wirtschaftlichkeit!$M$7</f>
        <v>7</v>
      </c>
      <c r="BV24" s="284">
        <f t="shared" si="21"/>
        <v>511</v>
      </c>
      <c r="BX24" s="222">
        <v>1387</v>
      </c>
      <c r="BY24" s="225">
        <f>IF($C24&gt;=Wirtschaftlichkeit!$N$8,Wirtschaftlichkeit!$N$8,IF(AND($C24&lt;=Wirtschaftlichkeit!$N$8,$C24&gt;=Wirtschaftlichkeit!$N$8*Eingabemaske!$B$18),$C24,"0"))</f>
        <v>18.977838419132468</v>
      </c>
      <c r="BZ24" s="222">
        <v>1387</v>
      </c>
      <c r="CA24" s="224">
        <f t="shared" si="22"/>
        <v>1385.3822045966701</v>
      </c>
      <c r="CB24" s="222">
        <v>1387</v>
      </c>
      <c r="CC24" s="226">
        <f t="shared" si="23"/>
        <v>18.977838419132468</v>
      </c>
      <c r="CD24" s="312">
        <v>1387</v>
      </c>
      <c r="CE24" s="286">
        <f>BY24*Wirtschaftlichkeit!$N$5/Wirtschaftlichkeit!$N$7</f>
        <v>8</v>
      </c>
      <c r="CF24" s="284">
        <f t="shared" si="24"/>
        <v>584</v>
      </c>
      <c r="CH24" s="222">
        <v>1387</v>
      </c>
      <c r="CI24" s="225">
        <f>IF($C24&gt;=Wirtschaftlichkeit!$O$8,Wirtschaftlichkeit!$O$8,IF(AND($C24&lt;=Wirtschaftlichkeit!$O$8,$C24&gt;=Wirtschaftlichkeit!$O$8*Eingabemaske!$B$18),$C24,"0"))</f>
        <v>20.966443256074175</v>
      </c>
      <c r="CJ24" s="222">
        <v>1387</v>
      </c>
      <c r="CK24" s="224">
        <f t="shared" si="25"/>
        <v>1530.5503576934148</v>
      </c>
      <c r="CL24" s="222">
        <v>1387</v>
      </c>
      <c r="CM24" s="226">
        <f t="shared" si="26"/>
        <v>20.966443256074175</v>
      </c>
      <c r="CN24" s="312">
        <v>1387</v>
      </c>
      <c r="CO24" s="286">
        <f>CI24*Wirtschaftlichkeit!$O$5/Wirtschaftlichkeit!$O$7</f>
        <v>9</v>
      </c>
      <c r="CP24" s="284">
        <f t="shared" si="27"/>
        <v>657</v>
      </c>
      <c r="CR24" s="222">
        <v>1387</v>
      </c>
      <c r="CS24" s="225">
        <f>IF($C24&gt;=Wirtschaftlichkeit!$P$8,Wirtschaftlichkeit!$P$8,IF(AND($C24&lt;=Wirtschaftlichkeit!$P$8,$C24&gt;=Wirtschaftlichkeit!$P$8*Eingabemaske!$B$18),$C24,"0"))</f>
        <v>21.095370000000003</v>
      </c>
      <c r="CT24" s="222">
        <v>1387</v>
      </c>
      <c r="CU24" s="224">
        <f t="shared" si="28"/>
        <v>1539.1309050000002</v>
      </c>
      <c r="CV24" s="222">
        <v>1387</v>
      </c>
      <c r="CW24" s="226">
        <f t="shared" si="29"/>
        <v>21.095370000000003</v>
      </c>
      <c r="CX24" s="312">
        <v>1387</v>
      </c>
      <c r="CY24" s="286">
        <f>CS24*Wirtschaftlichkeit!$P$5/Wirtschaftlichkeit!$P$7</f>
        <v>9.2041859195919908</v>
      </c>
      <c r="CZ24" s="284">
        <f t="shared" si="30"/>
        <v>671.54295014545266</v>
      </c>
      <c r="DB24" s="222">
        <v>1387</v>
      </c>
      <c r="DC24" s="225">
        <f>IF($C24&gt;=Wirtschaftlichkeit!$Q$8,Wirtschaftlichkeit!$Q$8,IF(AND($C24&lt;=Wirtschaftlichkeit!$Q$8,$C24&gt;=Wirtschaftlichkeit!$Q$8*Eingabemaske!$B$18),$C24,"0"))</f>
        <v>21.095370000000003</v>
      </c>
      <c r="DD24" s="222">
        <v>1387</v>
      </c>
      <c r="DE24" s="224">
        <f t="shared" si="31"/>
        <v>1539.1309050000002</v>
      </c>
      <c r="DF24" s="222">
        <v>1387</v>
      </c>
      <c r="DG24" s="226">
        <f t="shared" si="32"/>
        <v>21.095370000000003</v>
      </c>
      <c r="DH24" s="312">
        <v>1387</v>
      </c>
      <c r="DI24" s="286">
        <f>DC24*Wirtschaftlichkeit!$Q$5/Wirtschaftlichkeit!$Q$7</f>
        <v>9.6589241923051414</v>
      </c>
      <c r="DJ24" s="284">
        <f t="shared" si="33"/>
        <v>704.72092849895523</v>
      </c>
      <c r="DL24" s="222">
        <v>1387</v>
      </c>
      <c r="DM24" s="225">
        <f>IF($C24&gt;=Wirtschaftlichkeit!$R$8,Wirtschaftlichkeit!$R$8,IF(AND($C24&lt;=Wirtschaftlichkeit!$R$8,$C24&gt;=Wirtschaftlichkeit!$R$8*Eingabemaske!$B$18),$C24,"0"))</f>
        <v>21.095370000000003</v>
      </c>
      <c r="DN24" s="222">
        <v>1387</v>
      </c>
      <c r="DO24" s="224">
        <f t="shared" si="34"/>
        <v>1539.1309050000002</v>
      </c>
      <c r="DP24" s="222">
        <v>1387</v>
      </c>
      <c r="DQ24" s="226">
        <f t="shared" si="35"/>
        <v>21.095370000000003</v>
      </c>
      <c r="DR24" s="312">
        <v>1387</v>
      </c>
      <c r="DS24" s="286">
        <f>DM24*Wirtschaftlichkeit!$R$5/Wirtschaftlichkeit!$R$7</f>
        <v>9.7864657765892034</v>
      </c>
      <c r="DT24" s="284">
        <f t="shared" si="36"/>
        <v>714.02643933115507</v>
      </c>
      <c r="DV24" s="222">
        <v>1387</v>
      </c>
      <c r="DW24" s="225">
        <f>IF($C24&gt;=Wirtschaftlichkeit!$S$8,Wirtschaftlichkeit!$S$8,IF(AND($C24&lt;=Wirtschaftlichkeit!$S$8,$C24&gt;=Wirtschaftlichkeit!$S$8*Eingabemaske!$B$18),$C24,"0"))</f>
        <v>21.095370000000003</v>
      </c>
      <c r="DX24" s="222">
        <v>1387</v>
      </c>
      <c r="DY24" s="224">
        <f t="shared" si="37"/>
        <v>1539.1309050000002</v>
      </c>
      <c r="DZ24" s="222">
        <v>1387</v>
      </c>
      <c r="EA24" s="226">
        <f t="shared" si="38"/>
        <v>21.095370000000003</v>
      </c>
      <c r="EB24" s="312">
        <v>1387</v>
      </c>
      <c r="EC24" s="286">
        <f>DW24*Wirtschaftlichkeit!$S$5/Wirtschaftlichkeit!$S$7</f>
        <v>9.9057581450151133</v>
      </c>
      <c r="ED24" s="284">
        <f t="shared" si="39"/>
        <v>722.73008240425429</v>
      </c>
      <c r="EF24" s="222">
        <v>1387</v>
      </c>
      <c r="EG24" s="225">
        <f>IF($C24&gt;=Wirtschaftlichkeit!$T$8,Wirtschaftlichkeit!$T$8,IF(AND($C24&lt;=Wirtschaftlichkeit!$T$8,$C24&gt;=Wirtschaftlichkeit!$T$8*Eingabemaske!$B$18),$C24,"0"))</f>
        <v>21.095370000000003</v>
      </c>
      <c r="EH24" s="222">
        <v>1387</v>
      </c>
      <c r="EI24" s="224">
        <f t="shared" si="40"/>
        <v>1539.1309050000002</v>
      </c>
      <c r="EJ24" s="222">
        <v>1387</v>
      </c>
      <c r="EK24" s="226">
        <f t="shared" si="41"/>
        <v>21.095370000000003</v>
      </c>
      <c r="EL24" s="312">
        <v>1387</v>
      </c>
      <c r="EM24" s="286">
        <f>EG24*Wirtschaftlichkeit!$T$5/Wirtschaftlichkeit!$T$7</f>
        <v>10.017922006698608</v>
      </c>
      <c r="EN24" s="284">
        <f t="shared" si="42"/>
        <v>730.91362533055565</v>
      </c>
      <c r="EP24" s="222">
        <v>1387</v>
      </c>
      <c r="EQ24" s="225">
        <f>IF($C24&gt;=Wirtschaftlichkeit!$U$8,Wirtschaftlichkeit!$U$8,IF(AND($C24&lt;=Wirtschaftlichkeit!$U$8,$C24&gt;=Wirtschaftlichkeit!$U$8*Eingabemaske!$B$18),$C24,"0"))</f>
        <v>21.095370000000003</v>
      </c>
      <c r="ER24" s="222">
        <v>1387</v>
      </c>
      <c r="ES24" s="224">
        <f t="shared" si="43"/>
        <v>1539.1309050000002</v>
      </c>
      <c r="ET24" s="222">
        <v>1387</v>
      </c>
      <c r="EU24" s="226">
        <f t="shared" si="44"/>
        <v>21.095370000000003</v>
      </c>
      <c r="EV24" s="312">
        <v>1387</v>
      </c>
      <c r="EW24" s="286">
        <f>EQ24*Wirtschaftlichkeit!$U$5/Wirtschaftlichkeit!$U$7</f>
        <v>10.123858013029066</v>
      </c>
      <c r="EX24" s="284">
        <f t="shared" si="45"/>
        <v>738.64278017806419</v>
      </c>
      <c r="EZ24" s="222">
        <v>1387</v>
      </c>
      <c r="FA24" s="225">
        <f>IF($C24&gt;=Wirtschaftlichkeit!$V$8,Wirtschaftlichkeit!$V$8,IF(AND($C24&lt;=Wirtschaftlichkeit!$V$8,$C24&gt;=Wirtschaftlichkeit!$V$8*Eingabemaske!$B$18),$C24,"0"))</f>
        <v>21.095370000000003</v>
      </c>
      <c r="FB24" s="222">
        <v>1387</v>
      </c>
      <c r="FC24" s="224">
        <f t="shared" si="46"/>
        <v>1539.1309050000002</v>
      </c>
      <c r="FD24" s="222">
        <v>1387</v>
      </c>
      <c r="FE24" s="226">
        <f t="shared" si="47"/>
        <v>21.095370000000003</v>
      </c>
      <c r="FF24" s="312">
        <v>1387</v>
      </c>
      <c r="FG24" s="286">
        <f>FA24*Wirtschaftlichkeit!$V$5/Wirtschaftlichkeit!$V$7</f>
        <v>10.224301524907185</v>
      </c>
      <c r="FH24" s="284">
        <f t="shared" si="48"/>
        <v>745.97119932114367</v>
      </c>
      <c r="FJ24" s="222">
        <v>1387</v>
      </c>
      <c r="FK24" s="225">
        <f>IF($C24&gt;=Wirtschaftlichkeit!$W$8,Wirtschaftlichkeit!$W$8,IF(AND($C24&lt;=Wirtschaftlichkeit!$W$8,$C24&gt;=Wirtschaftlichkeit!$W$8*Eingabemaske!$B$18),$C24,"0"))</f>
        <v>21.095370000000003</v>
      </c>
      <c r="FL24" s="222">
        <v>1387</v>
      </c>
      <c r="FM24" s="224">
        <f t="shared" si="49"/>
        <v>1539.1309050000002</v>
      </c>
      <c r="FN24" s="222">
        <v>1387</v>
      </c>
      <c r="FO24" s="226">
        <f t="shared" si="50"/>
        <v>21.095370000000003</v>
      </c>
      <c r="FP24" s="312">
        <v>1387</v>
      </c>
      <c r="FQ24" s="286">
        <f>FK24*Wirtschaftlichkeit!$W$5/Wirtschaftlichkeit!$W$7</f>
        <v>10.319861226223029</v>
      </c>
      <c r="FR24" s="284">
        <f t="shared" si="51"/>
        <v>752.94329270314086</v>
      </c>
      <c r="FT24" s="222">
        <v>1387</v>
      </c>
      <c r="FU24" s="225">
        <f>IF($C24&gt;=Wirtschaftlichkeit!$X$8,Wirtschaftlichkeit!$X$8,IF(AND($C24&lt;=Wirtschaftlichkeit!$X$8,$C24&gt;=Wirtschaftlichkeit!$X$8*Eingabemaske!$B$18),$C24,"0"))</f>
        <v>21.095370000000003</v>
      </c>
      <c r="FV24" s="222">
        <v>1387</v>
      </c>
      <c r="FW24" s="224">
        <f t="shared" si="52"/>
        <v>1539.1309050000002</v>
      </c>
      <c r="FX24" s="222">
        <v>1387</v>
      </c>
      <c r="FY24" s="226">
        <f t="shared" si="53"/>
        <v>21.095370000000003</v>
      </c>
      <c r="FZ24" s="312">
        <v>1387</v>
      </c>
      <c r="GA24" s="286">
        <f>FU24*Wirtschaftlichkeit!$X$5/Wirtschaftlichkeit!$X$7</f>
        <v>10.411047006651554</v>
      </c>
      <c r="GB24" s="284">
        <f t="shared" si="54"/>
        <v>759.59626218194546</v>
      </c>
      <c r="GD24" s="222">
        <v>1387</v>
      </c>
      <c r="GE24" s="225">
        <f>IF($C24&gt;=Wirtschaftlichkeit!$Y$8,Wirtschaftlichkeit!$Y$8,IF(AND($C24&lt;=Wirtschaftlichkeit!$Y$8,$C24&gt;=Wirtschaftlichkeit!$Y$8*Eingabemaske!$B$18),$C24,"0"))</f>
        <v>21.095370000000003</v>
      </c>
      <c r="GF24" s="222">
        <v>1387</v>
      </c>
      <c r="GG24" s="224">
        <f t="shared" si="55"/>
        <v>1539.1309050000002</v>
      </c>
      <c r="GH24" s="222">
        <v>1387</v>
      </c>
      <c r="GI24" s="226">
        <f t="shared" si="56"/>
        <v>21.095370000000003</v>
      </c>
      <c r="GJ24" s="312">
        <v>1387</v>
      </c>
      <c r="GK24" s="286">
        <f>GE24*Wirtschaftlichkeit!$Y$5/Wirtschaftlichkeit!$Y$7</f>
        <v>10.498290519244684</v>
      </c>
      <c r="GL24" s="284">
        <f t="shared" si="57"/>
        <v>765.96160142429312</v>
      </c>
      <c r="GN24" s="222">
        <v>1387</v>
      </c>
      <c r="GO24" s="225">
        <f>IF($C24&gt;=Wirtschaftlichkeit!$Z$8,Wirtschaftlichkeit!$Z$8,IF(AND($C24&lt;=Wirtschaftlichkeit!$Z$8,$C24&gt;=Wirtschaftlichkeit!$Z$8*Eingabemaske!$B$18),$C24,"0"))</f>
        <v>21.095370000000003</v>
      </c>
      <c r="GP24" s="222">
        <v>1387</v>
      </c>
      <c r="GQ24" s="224">
        <f t="shared" si="58"/>
        <v>1539.1309050000002</v>
      </c>
      <c r="GR24" s="222">
        <v>1387</v>
      </c>
      <c r="GS24" s="226">
        <f t="shared" si="59"/>
        <v>21.095370000000003</v>
      </c>
      <c r="GT24" s="312">
        <v>1387</v>
      </c>
      <c r="GU24" s="286">
        <f>GO24*Wirtschaftlichkeit!$Z$5/Wirtschaftlichkeit!$Z$7</f>
        <v>10.581960617045429</v>
      </c>
      <c r="GV24" s="284">
        <f t="shared" si="60"/>
        <v>772.06622217043309</v>
      </c>
      <c r="GW24" s="266"/>
      <c r="GX24" s="258">
        <v>1387</v>
      </c>
      <c r="GY24" s="270">
        <f>IF(Berechnung_Diagramme!$C$28=Berechnungen_Lastgang!$F$2,Berechnungen_Lastgang!G24,IF(Berechnung_Diagramme!$C$28=Berechnungen_Lastgang!$P$2,Berechnungen_Lastgang!Q24,IF(Berechnung_Diagramme!$C$28=Berechnungen_Lastgang!$Z$2,Berechnungen_Lastgang!AA24,IF(Berechnung_Diagramme!$C$28=Berechnungen_Lastgang!$AJ$2,Berechnungen_Lastgang!AK24,IF(Berechnung_Diagramme!$C$28=Berechnungen_Lastgang!$AT$2,Berechnungen_Lastgang!AU24,IF(Berechnung_Diagramme!$C$28=Berechnungen_Lastgang!$BD$2,Berechnungen_Lastgang!BE24,IF(Berechnung_Diagramme!$C$28=Berechnungen_Lastgang!$BN$2,Berechnungen_Lastgang!BO24,IF(Berechnung_Diagramme!$C$28=Berechnungen_Lastgang!$BX$2,Berechnungen_Lastgang!BY24,IF(Berechnung_Diagramme!$C$28=Berechnungen_Lastgang!$CH$2,Berechnungen_Lastgang!CI24,IF(Berechnung_Diagramme!$C$28=Berechnungen_Lastgang!$CR$2,Berechnungen_Lastgang!CS24,IF(Berechnung_Diagramme!$C$28=Berechnungen_Lastgang!$DB$2,Berechnungen_Lastgang!DC24,IF(Berechnung_Diagramme!$C$28=Berechnungen_Lastgang!$DL$2,Berechnungen_Lastgang!DM24,IF(Berechnung_Diagramme!$C$28=Berechnungen_Lastgang!$DV$2,Berechnungen_Lastgang!DW24,IF(Berechnung_Diagramme!$C$28=Berechnungen_Lastgang!$EF$2,Berechnungen_Lastgang!EG24,IF(Berechnung_Diagramme!$C$28=Berechnungen_Lastgang!$EP$2,Berechnungen_Lastgang!EQ24,IF(Berechnung_Diagramme!$C$28=Berechnungen_Lastgang!$EZ$2,Berechnungen_Lastgang!FA24,IF(Berechnung_Diagramme!$C$28=Berechnungen_Lastgang!$FJ$2,Berechnungen_Lastgang!FK24,IF(Berechnung_Diagramme!$C$28=Berechnungen_Lastgang!$FT$2,Berechnungen_Lastgang!FU24,IF(Berechnung_Diagramme!$C$28=Berechnungen_Lastgang!$GD$2,Berechnungen_Lastgang!GE24,IF(Berechnung_Diagramme!$C$28=Berechnungen_Lastgang!$GN$2,Berechnungen_Lastgang!GO24,""))))))))))))))))))))</f>
        <v>20.966443256074175</v>
      </c>
    </row>
    <row r="25" spans="2:207" ht="14.45" x14ac:dyDescent="0.3">
      <c r="B25" s="64">
        <v>1460</v>
      </c>
      <c r="C25" s="67">
        <f>LARGE(Berechnung_Diagramme!$AB$5:$AB$16,3)</f>
        <v>21.072600000000001</v>
      </c>
      <c r="D25" s="66">
        <f t="shared" si="0"/>
        <v>1525.8332250000001</v>
      </c>
      <c r="F25" s="64">
        <v>1460</v>
      </c>
      <c r="G25" s="225">
        <f>IF($C25&gt;=Wirtschaftlichkeit!$G$8,Wirtschaftlichkeit!$G$8,IF(AND($C25&lt;=Wirtschaftlichkeit!$G$8,$C25&gt;=Wirtschaftlichkeit!$G$8*Eingabemaske!$B$18),$C25,"0"))</f>
        <v>2.8333333333333335</v>
      </c>
      <c r="H25" s="64">
        <v>1460</v>
      </c>
      <c r="I25" s="66">
        <f t="shared" si="1"/>
        <v>206.83333333333334</v>
      </c>
      <c r="J25" s="64">
        <v>1460</v>
      </c>
      <c r="K25" s="71">
        <f t="shared" si="2"/>
        <v>2.8333333333333335</v>
      </c>
      <c r="L25" s="312">
        <v>1460</v>
      </c>
      <c r="M25" s="286">
        <f>G25*Wirtschaftlichkeit!$G$5/Wirtschaftlichkeit!$G$7</f>
        <v>1</v>
      </c>
      <c r="N25" s="284">
        <f t="shared" si="3"/>
        <v>73</v>
      </c>
      <c r="P25" s="222">
        <v>1460</v>
      </c>
      <c r="Q25" s="225">
        <f>IF($C25&gt;=Wirtschaftlichkeit!$H$8,Wirtschaftlichkeit!$H$8,IF(AND($C25&lt;=Wirtschaftlichkeit!$H$8,$C25&gt;=Wirtschaftlichkeit!$H$8*Eingabemaske!$B$18),$C25,"0"))</f>
        <v>5.5876288659793811</v>
      </c>
      <c r="R25" s="222">
        <v>1460</v>
      </c>
      <c r="S25" s="224">
        <f t="shared" si="4"/>
        <v>407.89690721649481</v>
      </c>
      <c r="T25" s="222">
        <v>1460</v>
      </c>
      <c r="U25" s="226">
        <f t="shared" si="5"/>
        <v>5.5876288659793811</v>
      </c>
      <c r="V25" s="312">
        <v>1460</v>
      </c>
      <c r="W25" s="286">
        <f>Q25*Wirtschaftlichkeit!$H$5/Wirtschaftlichkeit!$H$7</f>
        <v>2</v>
      </c>
      <c r="X25" s="284">
        <f t="shared" si="6"/>
        <v>146</v>
      </c>
      <c r="Z25" s="222">
        <v>1460</v>
      </c>
      <c r="AA25" s="225">
        <f>IF($C25&gt;=Wirtschaftlichkeit!$I$8,Wirtschaftlichkeit!$I$8,IF(AND($C25&lt;=Wirtschaftlichkeit!$I$8,$C25&gt;=Wirtschaftlichkeit!$I$8*Eingabemaske!$B$18),$C25,"0"))</f>
        <v>8.2471643149712612</v>
      </c>
      <c r="AB25" s="222">
        <v>1460</v>
      </c>
      <c r="AC25" s="224">
        <f t="shared" si="7"/>
        <v>602.04299499290209</v>
      </c>
      <c r="AD25" s="222">
        <v>1460</v>
      </c>
      <c r="AE25" s="226">
        <f t="shared" si="8"/>
        <v>8.2471643149712612</v>
      </c>
      <c r="AF25" s="312">
        <v>1460</v>
      </c>
      <c r="AG25" s="286">
        <f>AA25*Wirtschaftlichkeit!$I$5/Wirtschaftlichkeit!$I$7</f>
        <v>3.0000000000000004</v>
      </c>
      <c r="AH25" s="284">
        <f t="shared" si="9"/>
        <v>219.00000000000003</v>
      </c>
      <c r="AJ25" s="222">
        <v>1460</v>
      </c>
      <c r="AK25" s="225">
        <f>IF($C25&gt;=Wirtschaftlichkeit!$J$8,Wirtschaftlichkeit!$J$8,IF(AND($C25&lt;=Wirtschaftlichkeit!$J$8,$C25&gt;=Wirtschaftlichkeit!$J$8*Eingabemaske!$B$18),$C25,"0"))</f>
        <v>10.537455322965799</v>
      </c>
      <c r="AL25" s="222">
        <v>1460</v>
      </c>
      <c r="AM25" s="224">
        <f t="shared" si="10"/>
        <v>769.23423857650334</v>
      </c>
      <c r="AN25" s="222">
        <v>1460</v>
      </c>
      <c r="AO25" s="226">
        <f t="shared" si="11"/>
        <v>10.537455322965799</v>
      </c>
      <c r="AP25" s="312">
        <v>1460</v>
      </c>
      <c r="AQ25" s="286">
        <f>AK25*Wirtschaftlichkeit!$J$5/Wirtschaftlichkeit!$J$7</f>
        <v>4</v>
      </c>
      <c r="AR25" s="284">
        <f t="shared" si="12"/>
        <v>292</v>
      </c>
      <c r="AT25" s="222">
        <v>1460</v>
      </c>
      <c r="AU25" s="225">
        <f>IF($C25&gt;=Wirtschaftlichkeit!$K$8,Wirtschaftlichkeit!$K$8,IF(AND($C25&lt;=Wirtschaftlichkeit!$K$8,$C25&gt;=Wirtschaftlichkeit!$K$8*Eingabemaske!$B$18),$C25,"0"))</f>
        <v>12.739122166763016</v>
      </c>
      <c r="AV25" s="222">
        <v>1460</v>
      </c>
      <c r="AW25" s="224">
        <f t="shared" si="13"/>
        <v>929.95591817370018</v>
      </c>
      <c r="AX25" s="222">
        <v>1460</v>
      </c>
      <c r="AY25" s="226">
        <f t="shared" si="14"/>
        <v>12.739122166763016</v>
      </c>
      <c r="AZ25" s="312">
        <v>1460</v>
      </c>
      <c r="BA25" s="286">
        <f>AU25*Wirtschaftlichkeit!$K$5/Wirtschaftlichkeit!$K$7</f>
        <v>5</v>
      </c>
      <c r="BB25" s="284">
        <f t="shared" si="15"/>
        <v>365</v>
      </c>
      <c r="BD25" s="222">
        <v>1460</v>
      </c>
      <c r="BE25" s="225">
        <f>IF($C25&gt;=Wirtschaftlichkeit!$L$8,Wirtschaftlichkeit!$L$8,IF(AND($C25&lt;=Wirtschaftlichkeit!$L$8,$C25&gt;=Wirtschaftlichkeit!$L$8*Eingabemaske!$B$18),$C25,"0"))</f>
        <v>14.87189090675227</v>
      </c>
      <c r="BF25" s="222">
        <v>1460</v>
      </c>
      <c r="BG25" s="224">
        <f t="shared" si="16"/>
        <v>1085.6480361929157</v>
      </c>
      <c r="BH25" s="222">
        <v>1460</v>
      </c>
      <c r="BI25" s="226">
        <f t="shared" si="17"/>
        <v>14.87189090675227</v>
      </c>
      <c r="BJ25" s="312">
        <v>1460</v>
      </c>
      <c r="BK25" s="286">
        <f>BE25*Wirtschaftlichkeit!$L$5/Wirtschaftlichkeit!$L$7</f>
        <v>6</v>
      </c>
      <c r="BL25" s="284">
        <f t="shared" si="18"/>
        <v>438</v>
      </c>
      <c r="BN25" s="222">
        <v>1460</v>
      </c>
      <c r="BO25" s="225">
        <f>IF($C25&gt;=Wirtschaftlichkeit!$M$8,Wirtschaftlichkeit!$M$8,IF(AND($C25&lt;=Wirtschaftlichkeit!$M$8,$C25&gt;=Wirtschaftlichkeit!$M$8*Eingabemaske!$B$18),$C25,"0"))</f>
        <v>16.948500863015312</v>
      </c>
      <c r="BP25" s="222">
        <v>1460</v>
      </c>
      <c r="BQ25" s="224">
        <f t="shared" si="19"/>
        <v>1237.2405630001178</v>
      </c>
      <c r="BR25" s="222">
        <v>1460</v>
      </c>
      <c r="BS25" s="226">
        <f t="shared" si="20"/>
        <v>16.948500863015312</v>
      </c>
      <c r="BT25" s="312">
        <v>1460</v>
      </c>
      <c r="BU25" s="286">
        <f>BO25*Wirtschaftlichkeit!$M$5/Wirtschaftlichkeit!$M$7</f>
        <v>7</v>
      </c>
      <c r="BV25" s="284">
        <f t="shared" si="21"/>
        <v>511</v>
      </c>
      <c r="BX25" s="222">
        <v>1460</v>
      </c>
      <c r="BY25" s="225">
        <f>IF($C25&gt;=Wirtschaftlichkeit!$N$8,Wirtschaftlichkeit!$N$8,IF(AND($C25&lt;=Wirtschaftlichkeit!$N$8,$C25&gt;=Wirtschaftlichkeit!$N$8*Eingabemaske!$B$18),$C25,"0"))</f>
        <v>18.977838419132468</v>
      </c>
      <c r="BZ25" s="222">
        <v>1460</v>
      </c>
      <c r="CA25" s="224">
        <f t="shared" si="22"/>
        <v>1385.3822045966701</v>
      </c>
      <c r="CB25" s="222">
        <v>1460</v>
      </c>
      <c r="CC25" s="226">
        <f t="shared" si="23"/>
        <v>18.977838419132468</v>
      </c>
      <c r="CD25" s="312">
        <v>1460</v>
      </c>
      <c r="CE25" s="286">
        <f>BY25*Wirtschaftlichkeit!$N$5/Wirtschaftlichkeit!$N$7</f>
        <v>8</v>
      </c>
      <c r="CF25" s="284">
        <f t="shared" si="24"/>
        <v>584</v>
      </c>
      <c r="CH25" s="222">
        <v>1460</v>
      </c>
      <c r="CI25" s="225">
        <f>IF($C25&gt;=Wirtschaftlichkeit!$O$8,Wirtschaftlichkeit!$O$8,IF(AND($C25&lt;=Wirtschaftlichkeit!$O$8,$C25&gt;=Wirtschaftlichkeit!$O$8*Eingabemaske!$B$18),$C25,"0"))</f>
        <v>20.966443256074175</v>
      </c>
      <c r="CJ25" s="222">
        <v>1460</v>
      </c>
      <c r="CK25" s="224">
        <f t="shared" si="25"/>
        <v>1521.9585038467073</v>
      </c>
      <c r="CL25" s="222">
        <v>1460</v>
      </c>
      <c r="CM25" s="226">
        <f t="shared" si="26"/>
        <v>20.966443256074175</v>
      </c>
      <c r="CN25" s="312">
        <v>1460</v>
      </c>
      <c r="CO25" s="286">
        <f>CI25*Wirtschaftlichkeit!$O$5/Wirtschaftlichkeit!$O$7</f>
        <v>9</v>
      </c>
      <c r="CP25" s="284">
        <f t="shared" si="27"/>
        <v>653.31188353332357</v>
      </c>
      <c r="CR25" s="222">
        <v>1460</v>
      </c>
      <c r="CS25" s="225">
        <f>IF($C25&gt;=Wirtschaftlichkeit!$P$8,Wirtschaftlichkeit!$P$8,IF(AND($C25&lt;=Wirtschaftlichkeit!$P$8,$C25&gt;=Wirtschaftlichkeit!$P$8*Eingabemaske!$B$18),$C25,"0"))</f>
        <v>21.072600000000001</v>
      </c>
      <c r="CT25" s="222">
        <v>1460</v>
      </c>
      <c r="CU25" s="224">
        <f t="shared" si="28"/>
        <v>1525.8332250000001</v>
      </c>
      <c r="CV25" s="222">
        <v>1460</v>
      </c>
      <c r="CW25" s="226">
        <f t="shared" si="29"/>
        <v>21.072600000000001</v>
      </c>
      <c r="CX25" s="312">
        <v>1460</v>
      </c>
      <c r="CY25" s="286">
        <f>CS25*Wirtschaftlichkeit!$P$5/Wirtschaftlichkeit!$P$7</f>
        <v>9.1942510706943832</v>
      </c>
      <c r="CZ25" s="284">
        <f t="shared" si="30"/>
        <v>665.74099838925019</v>
      </c>
      <c r="DB25" s="222">
        <v>1460</v>
      </c>
      <c r="DC25" s="225">
        <f>IF($C25&gt;=Wirtschaftlichkeit!$Q$8,Wirtschaftlichkeit!$Q$8,IF(AND($C25&lt;=Wirtschaftlichkeit!$Q$8,$C25&gt;=Wirtschaftlichkeit!$Q$8*Eingabemaske!$B$18),$C25,"0"))</f>
        <v>21.072600000000001</v>
      </c>
      <c r="DD25" s="222">
        <v>1460</v>
      </c>
      <c r="DE25" s="224">
        <f t="shared" si="31"/>
        <v>1525.8332250000001</v>
      </c>
      <c r="DF25" s="222">
        <v>1460</v>
      </c>
      <c r="DG25" s="226">
        <f t="shared" si="32"/>
        <v>21.072600000000001</v>
      </c>
      <c r="DH25" s="312">
        <v>1460</v>
      </c>
      <c r="DI25" s="286">
        <f>DC25*Wirtschaftlichkeit!$Q$5/Wirtschaftlichkeit!$Q$7</f>
        <v>9.6484985062963737</v>
      </c>
      <c r="DJ25" s="284">
        <f t="shared" si="33"/>
        <v>698.63232786983463</v>
      </c>
      <c r="DL25" s="222">
        <v>1460</v>
      </c>
      <c r="DM25" s="225">
        <f>IF($C25&gt;=Wirtschaftlichkeit!$R$8,Wirtschaftlichkeit!$R$8,IF(AND($C25&lt;=Wirtschaftlichkeit!$R$8,$C25&gt;=Wirtschaftlichkeit!$R$8*Eingabemaske!$B$18),$C25,"0"))</f>
        <v>21.072600000000001</v>
      </c>
      <c r="DN25" s="222">
        <v>1460</v>
      </c>
      <c r="DO25" s="224">
        <f t="shared" si="34"/>
        <v>1525.8332250000001</v>
      </c>
      <c r="DP25" s="222">
        <v>1460</v>
      </c>
      <c r="DQ25" s="226">
        <f t="shared" si="35"/>
        <v>21.072600000000001</v>
      </c>
      <c r="DR25" s="312">
        <v>1460</v>
      </c>
      <c r="DS25" s="286">
        <f>DM25*Wirtschaftlichkeit!$R$5/Wirtschaftlichkeit!$R$7</f>
        <v>9.7759024242643591</v>
      </c>
      <c r="DT25" s="284">
        <f t="shared" si="36"/>
        <v>707.85744157344641</v>
      </c>
      <c r="DV25" s="222">
        <v>1460</v>
      </c>
      <c r="DW25" s="225">
        <f>IF($C25&gt;=Wirtschaftlichkeit!$S$8,Wirtschaftlichkeit!$S$8,IF(AND($C25&lt;=Wirtschaftlichkeit!$S$8,$C25&gt;=Wirtschaftlichkeit!$S$8*Eingabemaske!$B$18),$C25,"0"))</f>
        <v>21.072600000000001</v>
      </c>
      <c r="DX25" s="222">
        <v>1460</v>
      </c>
      <c r="DY25" s="224">
        <f t="shared" si="37"/>
        <v>1525.8332250000001</v>
      </c>
      <c r="DZ25" s="222">
        <v>1460</v>
      </c>
      <c r="EA25" s="226">
        <f t="shared" si="38"/>
        <v>21.072600000000001</v>
      </c>
      <c r="EB25" s="312">
        <v>1460</v>
      </c>
      <c r="EC25" s="286">
        <f>DW25*Wirtschaftlichkeit!$S$5/Wirtschaftlichkeit!$S$7</f>
        <v>9.8950660304439069</v>
      </c>
      <c r="ED25" s="284">
        <f t="shared" si="39"/>
        <v>716.48588749466967</v>
      </c>
      <c r="EF25" s="222">
        <v>1460</v>
      </c>
      <c r="EG25" s="225">
        <f>IF($C25&gt;=Wirtschaftlichkeit!$T$8,Wirtschaftlichkeit!$T$8,IF(AND($C25&lt;=Wirtschaftlichkeit!$T$8,$C25&gt;=Wirtschaftlichkeit!$T$8*Eingabemaske!$B$18),$C25,"0"))</f>
        <v>21.072600000000001</v>
      </c>
      <c r="EH25" s="222">
        <v>1460</v>
      </c>
      <c r="EI25" s="224">
        <f t="shared" si="40"/>
        <v>1525.8332250000001</v>
      </c>
      <c r="EJ25" s="222">
        <v>1460</v>
      </c>
      <c r="EK25" s="226">
        <f t="shared" si="41"/>
        <v>21.072600000000001</v>
      </c>
      <c r="EL25" s="312">
        <v>1460</v>
      </c>
      <c r="EM25" s="286">
        <f>EG25*Wirtschaftlichkeit!$T$5/Wirtschaftlichkeit!$T$7</f>
        <v>10.00710882427552</v>
      </c>
      <c r="EN25" s="284">
        <f t="shared" si="42"/>
        <v>724.59872679547243</v>
      </c>
      <c r="EP25" s="222">
        <v>1460</v>
      </c>
      <c r="EQ25" s="225">
        <f>IF($C25&gt;=Wirtschaftlichkeit!$U$8,Wirtschaftlichkeit!$U$8,IF(AND($C25&lt;=Wirtschaftlichkeit!$U$8,$C25&gt;=Wirtschaftlichkeit!$U$8*Eingabemaske!$B$18),$C25,"0"))</f>
        <v>21.072600000000001</v>
      </c>
      <c r="ER25" s="222">
        <v>1460</v>
      </c>
      <c r="ES25" s="224">
        <f t="shared" si="43"/>
        <v>1525.8332250000001</v>
      </c>
      <c r="ET25" s="222">
        <v>1460</v>
      </c>
      <c r="EU25" s="226">
        <f t="shared" si="44"/>
        <v>21.072600000000001</v>
      </c>
      <c r="EV25" s="312">
        <v>1460</v>
      </c>
      <c r="EW25" s="286">
        <f>EQ25*Wirtschaftlichkeit!$U$5/Wirtschaftlichkeit!$U$7</f>
        <v>10.112930485000089</v>
      </c>
      <c r="EX25" s="284">
        <f t="shared" si="45"/>
        <v>732.26110380914076</v>
      </c>
      <c r="EZ25" s="222">
        <v>1460</v>
      </c>
      <c r="FA25" s="225">
        <f>IF($C25&gt;=Wirtschaftlichkeit!$V$8,Wirtschaftlichkeit!$V$8,IF(AND($C25&lt;=Wirtschaftlichkeit!$V$8,$C25&gt;=Wirtschaftlichkeit!$V$8*Eingabemaske!$B$18),$C25,"0"))</f>
        <v>21.072600000000001</v>
      </c>
      <c r="FB25" s="222">
        <v>1460</v>
      </c>
      <c r="FC25" s="224">
        <f t="shared" si="46"/>
        <v>1525.8332250000001</v>
      </c>
      <c r="FD25" s="222">
        <v>1460</v>
      </c>
      <c r="FE25" s="226">
        <f t="shared" si="47"/>
        <v>21.072600000000001</v>
      </c>
      <c r="FF25" s="312">
        <v>1460</v>
      </c>
      <c r="FG25" s="286">
        <f>FA25*Wirtschaftlichkeit!$V$5/Wirtschaftlichkeit!$V$7</f>
        <v>10.213265579781682</v>
      </c>
      <c r="FH25" s="284">
        <f t="shared" si="48"/>
        <v>739.52620736785104</v>
      </c>
      <c r="FJ25" s="222">
        <v>1460</v>
      </c>
      <c r="FK25" s="225">
        <f>IF($C25&gt;=Wirtschaftlichkeit!$W$8,Wirtschaftlichkeit!$W$8,IF(AND($C25&lt;=Wirtschaftlichkeit!$W$8,$C25&gt;=Wirtschaftlichkeit!$W$8*Eingabemaske!$B$18),$C25,"0"))</f>
        <v>21.072600000000001</v>
      </c>
      <c r="FL25" s="222">
        <v>1460</v>
      </c>
      <c r="FM25" s="224">
        <f t="shared" si="49"/>
        <v>1525.8332250000001</v>
      </c>
      <c r="FN25" s="222">
        <v>1460</v>
      </c>
      <c r="FO25" s="226">
        <f t="shared" si="50"/>
        <v>21.072600000000001</v>
      </c>
      <c r="FP25" s="312">
        <v>1460</v>
      </c>
      <c r="FQ25" s="286">
        <f>FK25*Wirtschaftlichkeit!$W$5/Wirtschaftlichkeit!$W$7</f>
        <v>10.30872213550686</v>
      </c>
      <c r="FR25" s="284">
        <f t="shared" si="51"/>
        <v>746.43806372489962</v>
      </c>
      <c r="FT25" s="222">
        <v>1460</v>
      </c>
      <c r="FU25" s="225">
        <f>IF($C25&gt;=Wirtschaftlichkeit!$X$8,Wirtschaftlichkeit!$X$8,IF(AND($C25&lt;=Wirtschaftlichkeit!$X$8,$C25&gt;=Wirtschaftlichkeit!$X$8*Eingabemaske!$B$18),$C25,"0"))</f>
        <v>21.072600000000001</v>
      </c>
      <c r="FV25" s="222">
        <v>1460</v>
      </c>
      <c r="FW25" s="224">
        <f t="shared" si="52"/>
        <v>1525.8332250000001</v>
      </c>
      <c r="FX25" s="222">
        <v>1460</v>
      </c>
      <c r="FY25" s="226">
        <f t="shared" si="53"/>
        <v>21.072600000000001</v>
      </c>
      <c r="FZ25" s="312">
        <v>1460</v>
      </c>
      <c r="GA25" s="286">
        <f>FU25*Wirtschaftlichkeit!$X$5/Wirtschaftlichkeit!$X$7</f>
        <v>10.399809491483937</v>
      </c>
      <c r="GB25" s="284">
        <f t="shared" si="54"/>
        <v>753.03355332405795</v>
      </c>
      <c r="GD25" s="222">
        <v>1460</v>
      </c>
      <c r="GE25" s="225">
        <f>IF($C25&gt;=Wirtschaftlichkeit!$Y$8,Wirtschaftlichkeit!$Y$8,IF(AND($C25&lt;=Wirtschaftlichkeit!$Y$8,$C25&gt;=Wirtschaftlichkeit!$Y$8*Eingabemaske!$B$18),$C25,"0"))</f>
        <v>21.072600000000001</v>
      </c>
      <c r="GF25" s="222">
        <v>1460</v>
      </c>
      <c r="GG25" s="224">
        <f t="shared" si="55"/>
        <v>1525.8332250000001</v>
      </c>
      <c r="GH25" s="222">
        <v>1460</v>
      </c>
      <c r="GI25" s="226">
        <f t="shared" si="56"/>
        <v>21.072600000000001</v>
      </c>
      <c r="GJ25" s="312">
        <v>1460</v>
      </c>
      <c r="GK25" s="286">
        <f>GE25*Wirtschaftlichkeit!$Y$5/Wirtschaftlichkeit!$Y$7</f>
        <v>10.486958834845538</v>
      </c>
      <c r="GL25" s="284">
        <f t="shared" si="57"/>
        <v>759.34389773519206</v>
      </c>
      <c r="GN25" s="222">
        <v>1460</v>
      </c>
      <c r="GO25" s="225">
        <f>IF($C25&gt;=Wirtschaftlichkeit!$Z$8,Wirtschaftlichkeit!$Z$8,IF(AND($C25&lt;=Wirtschaftlichkeit!$Z$8,$C25&gt;=Wirtschaftlichkeit!$Z$8*Eingabemaske!$B$18),$C25,"0"))</f>
        <v>21.072600000000001</v>
      </c>
      <c r="GP25" s="222">
        <v>1460</v>
      </c>
      <c r="GQ25" s="224">
        <f t="shared" si="58"/>
        <v>1525.8332250000001</v>
      </c>
      <c r="GR25" s="222">
        <v>1460</v>
      </c>
      <c r="GS25" s="226">
        <f t="shared" si="59"/>
        <v>21.072600000000001</v>
      </c>
      <c r="GT25" s="312">
        <v>1460</v>
      </c>
      <c r="GU25" s="286">
        <f>GO25*Wirtschaftlichkeit!$Z$5/Wirtschaftlichkeit!$Z$7</f>
        <v>10.570538620500685</v>
      </c>
      <c r="GV25" s="284">
        <f t="shared" si="60"/>
        <v>765.39577618830185</v>
      </c>
      <c r="GW25" s="266"/>
      <c r="GX25" s="258">
        <v>1460</v>
      </c>
      <c r="GY25" s="270">
        <f>IF(Berechnung_Diagramme!$C$28=Berechnungen_Lastgang!$F$2,Berechnungen_Lastgang!G25,IF(Berechnung_Diagramme!$C$28=Berechnungen_Lastgang!$P$2,Berechnungen_Lastgang!Q25,IF(Berechnung_Diagramme!$C$28=Berechnungen_Lastgang!$Z$2,Berechnungen_Lastgang!AA25,IF(Berechnung_Diagramme!$C$28=Berechnungen_Lastgang!$AJ$2,Berechnungen_Lastgang!AK25,IF(Berechnung_Diagramme!$C$28=Berechnungen_Lastgang!$AT$2,Berechnungen_Lastgang!AU25,IF(Berechnung_Diagramme!$C$28=Berechnungen_Lastgang!$BD$2,Berechnungen_Lastgang!BE25,IF(Berechnung_Diagramme!$C$28=Berechnungen_Lastgang!$BN$2,Berechnungen_Lastgang!BO25,IF(Berechnung_Diagramme!$C$28=Berechnungen_Lastgang!$BX$2,Berechnungen_Lastgang!BY25,IF(Berechnung_Diagramme!$C$28=Berechnungen_Lastgang!$CH$2,Berechnungen_Lastgang!CI25,IF(Berechnung_Diagramme!$C$28=Berechnungen_Lastgang!$CR$2,Berechnungen_Lastgang!CS25,IF(Berechnung_Diagramme!$C$28=Berechnungen_Lastgang!$DB$2,Berechnungen_Lastgang!DC25,IF(Berechnung_Diagramme!$C$28=Berechnungen_Lastgang!$DL$2,Berechnungen_Lastgang!DM25,IF(Berechnung_Diagramme!$C$28=Berechnungen_Lastgang!$DV$2,Berechnungen_Lastgang!DW25,IF(Berechnung_Diagramme!$C$28=Berechnungen_Lastgang!$EF$2,Berechnungen_Lastgang!EG25,IF(Berechnung_Diagramme!$C$28=Berechnungen_Lastgang!$EP$2,Berechnungen_Lastgang!EQ25,IF(Berechnung_Diagramme!$C$28=Berechnungen_Lastgang!$EZ$2,Berechnungen_Lastgang!FA25,IF(Berechnung_Diagramme!$C$28=Berechnungen_Lastgang!$FJ$2,Berechnungen_Lastgang!FK25,IF(Berechnung_Diagramme!$C$28=Berechnungen_Lastgang!$FT$2,Berechnungen_Lastgang!FU25,IF(Berechnung_Diagramme!$C$28=Berechnungen_Lastgang!$GD$2,Berechnungen_Lastgang!GE25,IF(Berechnung_Diagramme!$C$28=Berechnungen_Lastgang!$GN$2,Berechnungen_Lastgang!GO25,""))))))))))))))))))))</f>
        <v>20.966443256074175</v>
      </c>
    </row>
    <row r="26" spans="2:207" ht="14.45" x14ac:dyDescent="0.3">
      <c r="B26" s="64">
        <v>1533</v>
      </c>
      <c r="C26" s="67">
        <f>C25+((C30-C25)/(B30-B25))*(B26-B25)</f>
        <v>20.73105</v>
      </c>
      <c r="D26" s="66">
        <f t="shared" si="0"/>
        <v>1500.9000749999998</v>
      </c>
      <c r="F26" s="64">
        <v>1533</v>
      </c>
      <c r="G26" s="225">
        <f>IF($C26&gt;=Wirtschaftlichkeit!$G$8,Wirtschaftlichkeit!$G$8,IF(AND($C26&lt;=Wirtschaftlichkeit!$G$8,$C26&gt;=Wirtschaftlichkeit!$G$8*Eingabemaske!$B$18),$C26,"0"))</f>
        <v>2.8333333333333335</v>
      </c>
      <c r="H26" s="64">
        <v>1533</v>
      </c>
      <c r="I26" s="66">
        <f t="shared" si="1"/>
        <v>206.83333333333334</v>
      </c>
      <c r="J26" s="64">
        <v>1533</v>
      </c>
      <c r="K26" s="71">
        <f t="shared" si="2"/>
        <v>2.8333333333333335</v>
      </c>
      <c r="L26" s="312">
        <v>1533</v>
      </c>
      <c r="M26" s="286">
        <f>G26*Wirtschaftlichkeit!$G$5/Wirtschaftlichkeit!$G$7</f>
        <v>1</v>
      </c>
      <c r="N26" s="284">
        <f t="shared" si="3"/>
        <v>73</v>
      </c>
      <c r="P26" s="222">
        <v>1533</v>
      </c>
      <c r="Q26" s="225">
        <f>IF($C26&gt;=Wirtschaftlichkeit!$H$8,Wirtschaftlichkeit!$H$8,IF(AND($C26&lt;=Wirtschaftlichkeit!$H$8,$C26&gt;=Wirtschaftlichkeit!$H$8*Eingabemaske!$B$18),$C26,"0"))</f>
        <v>5.5876288659793811</v>
      </c>
      <c r="R26" s="222">
        <v>1533</v>
      </c>
      <c r="S26" s="224">
        <f t="shared" si="4"/>
        <v>407.89690721649481</v>
      </c>
      <c r="T26" s="222">
        <v>1533</v>
      </c>
      <c r="U26" s="226">
        <f t="shared" si="5"/>
        <v>5.5876288659793811</v>
      </c>
      <c r="V26" s="312">
        <v>1533</v>
      </c>
      <c r="W26" s="286">
        <f>Q26*Wirtschaftlichkeit!$H$5/Wirtschaftlichkeit!$H$7</f>
        <v>2</v>
      </c>
      <c r="X26" s="284">
        <f t="shared" si="6"/>
        <v>146</v>
      </c>
      <c r="Z26" s="222">
        <v>1533</v>
      </c>
      <c r="AA26" s="225">
        <f>IF($C26&gt;=Wirtschaftlichkeit!$I$8,Wirtschaftlichkeit!$I$8,IF(AND($C26&lt;=Wirtschaftlichkeit!$I$8,$C26&gt;=Wirtschaftlichkeit!$I$8*Eingabemaske!$B$18),$C26,"0"))</f>
        <v>8.2471643149712612</v>
      </c>
      <c r="AB26" s="222">
        <v>1533</v>
      </c>
      <c r="AC26" s="224">
        <f t="shared" si="7"/>
        <v>602.04299499290209</v>
      </c>
      <c r="AD26" s="222">
        <v>1533</v>
      </c>
      <c r="AE26" s="226">
        <f t="shared" si="8"/>
        <v>8.2471643149712612</v>
      </c>
      <c r="AF26" s="312">
        <v>1533</v>
      </c>
      <c r="AG26" s="286">
        <f>AA26*Wirtschaftlichkeit!$I$5/Wirtschaftlichkeit!$I$7</f>
        <v>3.0000000000000004</v>
      </c>
      <c r="AH26" s="284">
        <f t="shared" si="9"/>
        <v>219.00000000000003</v>
      </c>
      <c r="AJ26" s="222">
        <v>1533</v>
      </c>
      <c r="AK26" s="225">
        <f>IF($C26&gt;=Wirtschaftlichkeit!$J$8,Wirtschaftlichkeit!$J$8,IF(AND($C26&lt;=Wirtschaftlichkeit!$J$8,$C26&gt;=Wirtschaftlichkeit!$J$8*Eingabemaske!$B$18),$C26,"0"))</f>
        <v>10.537455322965799</v>
      </c>
      <c r="AL26" s="222">
        <v>1533</v>
      </c>
      <c r="AM26" s="224">
        <f t="shared" si="10"/>
        <v>769.23423857650334</v>
      </c>
      <c r="AN26" s="222">
        <v>1533</v>
      </c>
      <c r="AO26" s="226">
        <f t="shared" si="11"/>
        <v>10.537455322965799</v>
      </c>
      <c r="AP26" s="312">
        <v>1533</v>
      </c>
      <c r="AQ26" s="286">
        <f>AK26*Wirtschaftlichkeit!$J$5/Wirtschaftlichkeit!$J$7</f>
        <v>4</v>
      </c>
      <c r="AR26" s="284">
        <f t="shared" si="12"/>
        <v>292</v>
      </c>
      <c r="AT26" s="222">
        <v>1533</v>
      </c>
      <c r="AU26" s="225">
        <f>IF($C26&gt;=Wirtschaftlichkeit!$K$8,Wirtschaftlichkeit!$K$8,IF(AND($C26&lt;=Wirtschaftlichkeit!$K$8,$C26&gt;=Wirtschaftlichkeit!$K$8*Eingabemaske!$B$18),$C26,"0"))</f>
        <v>12.739122166763016</v>
      </c>
      <c r="AV26" s="222">
        <v>1533</v>
      </c>
      <c r="AW26" s="224">
        <f t="shared" si="13"/>
        <v>929.95591817370018</v>
      </c>
      <c r="AX26" s="222">
        <v>1533</v>
      </c>
      <c r="AY26" s="226">
        <f t="shared" si="14"/>
        <v>12.739122166763016</v>
      </c>
      <c r="AZ26" s="312">
        <v>1533</v>
      </c>
      <c r="BA26" s="286">
        <f>AU26*Wirtschaftlichkeit!$K$5/Wirtschaftlichkeit!$K$7</f>
        <v>5</v>
      </c>
      <c r="BB26" s="284">
        <f t="shared" si="15"/>
        <v>365</v>
      </c>
      <c r="BD26" s="222">
        <v>1533</v>
      </c>
      <c r="BE26" s="225">
        <f>IF($C26&gt;=Wirtschaftlichkeit!$L$8,Wirtschaftlichkeit!$L$8,IF(AND($C26&lt;=Wirtschaftlichkeit!$L$8,$C26&gt;=Wirtschaftlichkeit!$L$8*Eingabemaske!$B$18),$C26,"0"))</f>
        <v>14.87189090675227</v>
      </c>
      <c r="BF26" s="222">
        <v>1533</v>
      </c>
      <c r="BG26" s="224">
        <f t="shared" si="16"/>
        <v>1085.6480361929157</v>
      </c>
      <c r="BH26" s="222">
        <v>1533</v>
      </c>
      <c r="BI26" s="226">
        <f t="shared" si="17"/>
        <v>14.87189090675227</v>
      </c>
      <c r="BJ26" s="312">
        <v>1533</v>
      </c>
      <c r="BK26" s="286">
        <f>BE26*Wirtschaftlichkeit!$L$5/Wirtschaftlichkeit!$L$7</f>
        <v>6</v>
      </c>
      <c r="BL26" s="284">
        <f t="shared" si="18"/>
        <v>438</v>
      </c>
      <c r="BN26" s="222">
        <v>1533</v>
      </c>
      <c r="BO26" s="225">
        <f>IF($C26&gt;=Wirtschaftlichkeit!$M$8,Wirtschaftlichkeit!$M$8,IF(AND($C26&lt;=Wirtschaftlichkeit!$M$8,$C26&gt;=Wirtschaftlichkeit!$M$8*Eingabemaske!$B$18),$C26,"0"))</f>
        <v>16.948500863015312</v>
      </c>
      <c r="BP26" s="222">
        <v>1533</v>
      </c>
      <c r="BQ26" s="224">
        <f t="shared" si="19"/>
        <v>1237.2405630001178</v>
      </c>
      <c r="BR26" s="222">
        <v>1533</v>
      </c>
      <c r="BS26" s="226">
        <f t="shared" si="20"/>
        <v>16.948500863015312</v>
      </c>
      <c r="BT26" s="312">
        <v>1533</v>
      </c>
      <c r="BU26" s="286">
        <f>BO26*Wirtschaftlichkeit!$M$5/Wirtschaftlichkeit!$M$7</f>
        <v>7</v>
      </c>
      <c r="BV26" s="284">
        <f t="shared" si="21"/>
        <v>511</v>
      </c>
      <c r="BX26" s="222">
        <v>1533</v>
      </c>
      <c r="BY26" s="225">
        <f>IF($C26&gt;=Wirtschaftlichkeit!$N$8,Wirtschaftlichkeit!$N$8,IF(AND($C26&lt;=Wirtschaftlichkeit!$N$8,$C26&gt;=Wirtschaftlichkeit!$N$8*Eingabemaske!$B$18),$C26,"0"))</f>
        <v>18.977838419132468</v>
      </c>
      <c r="BZ26" s="222">
        <v>1533</v>
      </c>
      <c r="CA26" s="224">
        <f t="shared" si="22"/>
        <v>1385.3822045966701</v>
      </c>
      <c r="CB26" s="222">
        <v>1533</v>
      </c>
      <c r="CC26" s="226">
        <f t="shared" si="23"/>
        <v>18.977838419132468</v>
      </c>
      <c r="CD26" s="312">
        <v>1533</v>
      </c>
      <c r="CE26" s="286">
        <f>BY26*Wirtschaftlichkeit!$N$5/Wirtschaftlichkeit!$N$7</f>
        <v>8</v>
      </c>
      <c r="CF26" s="284">
        <f t="shared" si="24"/>
        <v>584</v>
      </c>
      <c r="CH26" s="222">
        <v>1533</v>
      </c>
      <c r="CI26" s="225">
        <f>IF($C26&gt;=Wirtschaftlichkeit!$O$8,Wirtschaftlichkeit!$O$8,IF(AND($C26&lt;=Wirtschaftlichkeit!$O$8,$C26&gt;=Wirtschaftlichkeit!$O$8*Eingabemaske!$B$18),$C26,"0"))</f>
        <v>20.73105</v>
      </c>
      <c r="CJ26" s="222">
        <v>1533</v>
      </c>
      <c r="CK26" s="224">
        <f t="shared" si="25"/>
        <v>1500.9000749999998</v>
      </c>
      <c r="CL26" s="222">
        <v>1533</v>
      </c>
      <c r="CM26" s="226">
        <f t="shared" si="26"/>
        <v>20.73105</v>
      </c>
      <c r="CN26" s="312">
        <v>1533</v>
      </c>
      <c r="CO26" s="286">
        <f>CI26*Wirtschaftlichkeit!$O$5/Wirtschaftlichkeit!$O$7</f>
        <v>8.8989557132417403</v>
      </c>
      <c r="CP26" s="284">
        <f t="shared" si="27"/>
        <v>644.27239804188423</v>
      </c>
      <c r="CR26" s="222">
        <v>1533</v>
      </c>
      <c r="CS26" s="225">
        <f>IF($C26&gt;=Wirtschaftlichkeit!$P$8,Wirtschaftlichkeit!$P$8,IF(AND($C26&lt;=Wirtschaftlichkeit!$P$8,$C26&gt;=Wirtschaftlichkeit!$P$8*Eingabemaske!$B$18),$C26,"0"))</f>
        <v>20.73105</v>
      </c>
      <c r="CT26" s="222">
        <v>1533</v>
      </c>
      <c r="CU26" s="224">
        <f t="shared" si="28"/>
        <v>1500.9000749999998</v>
      </c>
      <c r="CV26" s="222">
        <v>1533</v>
      </c>
      <c r="CW26" s="226">
        <f t="shared" si="29"/>
        <v>20.73105</v>
      </c>
      <c r="CX26" s="312">
        <v>1533</v>
      </c>
      <c r="CY26" s="286">
        <f>CS26*Wirtschaftlichkeit!$P$5/Wirtschaftlichkeit!$P$7</f>
        <v>9.0452283372302791</v>
      </c>
      <c r="CZ26" s="284">
        <f t="shared" si="30"/>
        <v>654.86233884637056</v>
      </c>
      <c r="DB26" s="222">
        <v>1533</v>
      </c>
      <c r="DC26" s="225">
        <f>IF($C26&gt;=Wirtschaftlichkeit!$Q$8,Wirtschaftlichkeit!$Q$8,IF(AND($C26&lt;=Wirtschaftlichkeit!$Q$8,$C26&gt;=Wirtschaftlichkeit!$Q$8*Eingabemaske!$B$18),$C26,"0"))</f>
        <v>20.73105</v>
      </c>
      <c r="DD26" s="222">
        <v>1533</v>
      </c>
      <c r="DE26" s="224">
        <f t="shared" si="31"/>
        <v>1500.9000749999998</v>
      </c>
      <c r="DF26" s="222">
        <v>1533</v>
      </c>
      <c r="DG26" s="226">
        <f t="shared" si="32"/>
        <v>20.73105</v>
      </c>
      <c r="DH26" s="312">
        <v>1533</v>
      </c>
      <c r="DI26" s="286">
        <f>DC26*Wirtschaftlichkeit!$Q$5/Wirtschaftlichkeit!$Q$7</f>
        <v>9.4921132161648512</v>
      </c>
      <c r="DJ26" s="284">
        <f t="shared" si="33"/>
        <v>687.21620169023345</v>
      </c>
      <c r="DL26" s="222">
        <v>1533</v>
      </c>
      <c r="DM26" s="225">
        <f>IF($C26&gt;=Wirtschaftlichkeit!$R$8,Wirtschaftlichkeit!$R$8,IF(AND($C26&lt;=Wirtschaftlichkeit!$R$8,$C26&gt;=Wirtschaftlichkeit!$R$8*Eingabemaske!$B$18),$C26,"0"))</f>
        <v>20.73105</v>
      </c>
      <c r="DN26" s="222">
        <v>1533</v>
      </c>
      <c r="DO26" s="224">
        <f t="shared" si="34"/>
        <v>1500.9000749999998</v>
      </c>
      <c r="DP26" s="222">
        <v>1533</v>
      </c>
      <c r="DQ26" s="226">
        <f t="shared" si="35"/>
        <v>20.73105</v>
      </c>
      <c r="DR26" s="312">
        <v>1533</v>
      </c>
      <c r="DS26" s="286">
        <f>DM26*Wirtschaftlichkeit!$R$5/Wirtschaftlichkeit!$R$7</f>
        <v>9.6174521393917054</v>
      </c>
      <c r="DT26" s="284">
        <f t="shared" si="36"/>
        <v>696.29057077774246</v>
      </c>
      <c r="DV26" s="222">
        <v>1533</v>
      </c>
      <c r="DW26" s="225">
        <f>IF($C26&gt;=Wirtschaftlichkeit!$S$8,Wirtschaftlichkeit!$S$8,IF(AND($C26&lt;=Wirtschaftlichkeit!$S$8,$C26&gt;=Wirtschaftlichkeit!$S$8*Eingabemaske!$B$18),$C26,"0"))</f>
        <v>20.73105</v>
      </c>
      <c r="DX26" s="222">
        <v>1533</v>
      </c>
      <c r="DY26" s="224">
        <f t="shared" si="37"/>
        <v>1500.9000749999998</v>
      </c>
      <c r="DZ26" s="222">
        <v>1533</v>
      </c>
      <c r="EA26" s="226">
        <f t="shared" si="38"/>
        <v>20.73105</v>
      </c>
      <c r="EB26" s="312">
        <v>1533</v>
      </c>
      <c r="EC26" s="286">
        <f>DW26*Wirtschaftlichkeit!$S$5/Wirtschaftlichkeit!$S$7</f>
        <v>9.7346843118758084</v>
      </c>
      <c r="ED26" s="284">
        <f t="shared" si="39"/>
        <v>704.77802203919839</v>
      </c>
      <c r="EF26" s="222">
        <v>1533</v>
      </c>
      <c r="EG26" s="225">
        <f>IF($C26&gt;=Wirtschaftlichkeit!$T$8,Wirtschaftlichkeit!$T$8,IF(AND($C26&lt;=Wirtschaftlichkeit!$T$8,$C26&gt;=Wirtschaftlichkeit!$T$8*Eingabemaske!$B$18),$C26,"0"))</f>
        <v>20.73105</v>
      </c>
      <c r="EH26" s="222">
        <v>1533</v>
      </c>
      <c r="EI26" s="224">
        <f t="shared" si="40"/>
        <v>1500.9000749999998</v>
      </c>
      <c r="EJ26" s="222">
        <v>1533</v>
      </c>
      <c r="EK26" s="226">
        <f t="shared" si="41"/>
        <v>20.73105</v>
      </c>
      <c r="EL26" s="312">
        <v>1533</v>
      </c>
      <c r="EM26" s="286">
        <f>EG26*Wirtschaftlichkeit!$T$5/Wirtschaftlichkeit!$T$7</f>
        <v>9.844911087929205</v>
      </c>
      <c r="EN26" s="284">
        <f t="shared" si="42"/>
        <v>712.75829204219167</v>
      </c>
      <c r="EP26" s="222">
        <v>1533</v>
      </c>
      <c r="EQ26" s="225">
        <f>IF($C26&gt;=Wirtschaftlichkeit!$U$8,Wirtschaftlichkeit!$U$8,IF(AND($C26&lt;=Wirtschaftlichkeit!$U$8,$C26&gt;=Wirtschaftlichkeit!$U$8*Eingabemaske!$B$18),$C26,"0"))</f>
        <v>20.73105</v>
      </c>
      <c r="ER26" s="222">
        <v>1533</v>
      </c>
      <c r="ES26" s="224">
        <f t="shared" si="43"/>
        <v>1500.9000749999998</v>
      </c>
      <c r="ET26" s="222">
        <v>1533</v>
      </c>
      <c r="EU26" s="226">
        <f t="shared" si="44"/>
        <v>20.73105</v>
      </c>
      <c r="EV26" s="312">
        <v>1533</v>
      </c>
      <c r="EW26" s="286">
        <f>EQ26*Wirtschaftlichkeit!$U$5/Wirtschaftlichkeit!$U$7</f>
        <v>9.9490175645654109</v>
      </c>
      <c r="EX26" s="284">
        <f t="shared" si="45"/>
        <v>720.29546061740916</v>
      </c>
      <c r="EZ26" s="222">
        <v>1533</v>
      </c>
      <c r="FA26" s="225">
        <f>IF($C26&gt;=Wirtschaftlichkeit!$V$8,Wirtschaftlichkeit!$V$8,IF(AND($C26&lt;=Wirtschaftlichkeit!$V$8,$C26&gt;=Wirtschaftlichkeit!$V$8*Eingabemaske!$B$18),$C26,"0"))</f>
        <v>20.73105</v>
      </c>
      <c r="FB26" s="222">
        <v>1533</v>
      </c>
      <c r="FC26" s="224">
        <f t="shared" si="46"/>
        <v>1500.9000749999998</v>
      </c>
      <c r="FD26" s="222">
        <v>1533</v>
      </c>
      <c r="FE26" s="226">
        <f t="shared" si="47"/>
        <v>20.73105</v>
      </c>
      <c r="FF26" s="312">
        <v>1533</v>
      </c>
      <c r="FG26" s="286">
        <f>FA26*Wirtschaftlichkeit!$V$5/Wirtschaftlichkeit!$V$7</f>
        <v>10.047726402899169</v>
      </c>
      <c r="FH26" s="284">
        <f t="shared" si="48"/>
        <v>727.44184745542771</v>
      </c>
      <c r="FJ26" s="222">
        <v>1533</v>
      </c>
      <c r="FK26" s="225">
        <f>IF($C26&gt;=Wirtschaftlichkeit!$W$8,Wirtschaftlichkeit!$W$8,IF(AND($C26&lt;=Wirtschaftlichkeit!$W$8,$C26&gt;=Wirtschaftlichkeit!$W$8*Eingabemaske!$B$18),$C26,"0"))</f>
        <v>20.73105</v>
      </c>
      <c r="FL26" s="222">
        <v>1533</v>
      </c>
      <c r="FM26" s="224">
        <f t="shared" si="49"/>
        <v>1500.9000749999998</v>
      </c>
      <c r="FN26" s="222">
        <v>1533</v>
      </c>
      <c r="FO26" s="226">
        <f t="shared" si="50"/>
        <v>20.73105</v>
      </c>
      <c r="FP26" s="312">
        <v>1533</v>
      </c>
      <c r="FQ26" s="286">
        <f>FK26*Wirtschaftlichkeit!$W$5/Wirtschaftlichkeit!$W$7</f>
        <v>10.141635774764362</v>
      </c>
      <c r="FR26" s="284">
        <f t="shared" si="51"/>
        <v>734.24075939069724</v>
      </c>
      <c r="FT26" s="222">
        <v>1533</v>
      </c>
      <c r="FU26" s="225">
        <f>IF($C26&gt;=Wirtschaftlichkeit!$X$8,Wirtschaftlichkeit!$X$8,IF(AND($C26&lt;=Wirtschaftlichkeit!$X$8,$C26&gt;=Wirtschaftlichkeit!$X$8*Eingabemaske!$B$18),$C26,"0"))</f>
        <v>20.73105</v>
      </c>
      <c r="FV26" s="222">
        <v>1533</v>
      </c>
      <c r="FW26" s="224">
        <f t="shared" si="52"/>
        <v>1500.9000749999998</v>
      </c>
      <c r="FX26" s="222">
        <v>1533</v>
      </c>
      <c r="FY26" s="226">
        <f t="shared" si="53"/>
        <v>20.73105</v>
      </c>
      <c r="FZ26" s="312">
        <v>1533</v>
      </c>
      <c r="GA26" s="286">
        <f>FU26*Wirtschaftlichkeit!$X$5/Wirtschaftlichkeit!$X$7</f>
        <v>10.231246763969708</v>
      </c>
      <c r="GB26" s="284">
        <f t="shared" si="54"/>
        <v>740.72847421551933</v>
      </c>
      <c r="GD26" s="222">
        <v>1533</v>
      </c>
      <c r="GE26" s="225">
        <f>IF($C26&gt;=Wirtschaftlichkeit!$Y$8,Wirtschaftlichkeit!$Y$8,IF(AND($C26&lt;=Wirtschaftlichkeit!$Y$8,$C26&gt;=Wirtschaftlichkeit!$Y$8*Eingabemaske!$B$18),$C26,"0"))</f>
        <v>20.73105</v>
      </c>
      <c r="GF26" s="222">
        <v>1533</v>
      </c>
      <c r="GG26" s="224">
        <f t="shared" si="55"/>
        <v>1500.9000749999998</v>
      </c>
      <c r="GH26" s="222">
        <v>1533</v>
      </c>
      <c r="GI26" s="226">
        <f t="shared" si="56"/>
        <v>20.73105</v>
      </c>
      <c r="GJ26" s="312">
        <v>1533</v>
      </c>
      <c r="GK26" s="286">
        <f>GE26*Wirtschaftlichkeit!$Y$5/Wirtschaftlichkeit!$Y$7</f>
        <v>10.316983568858355</v>
      </c>
      <c r="GL26" s="284">
        <f t="shared" si="57"/>
        <v>746.93570331812771</v>
      </c>
      <c r="GN26" s="222">
        <v>1533</v>
      </c>
      <c r="GO26" s="225">
        <f>IF($C26&gt;=Wirtschaftlichkeit!$Z$8,Wirtschaftlichkeit!$Z$8,IF(AND($C26&lt;=Wirtschaftlichkeit!$Z$8,$C26&gt;=Wirtschaftlichkeit!$Z$8*Eingabemaske!$B$18),$C26,"0"))</f>
        <v>20.73105</v>
      </c>
      <c r="GP26" s="222">
        <v>1533</v>
      </c>
      <c r="GQ26" s="224">
        <f t="shared" si="58"/>
        <v>1500.9000749999998</v>
      </c>
      <c r="GR26" s="222">
        <v>1533</v>
      </c>
      <c r="GS26" s="226">
        <f t="shared" si="59"/>
        <v>20.73105</v>
      </c>
      <c r="GT26" s="312">
        <v>1533</v>
      </c>
      <c r="GU26" s="286">
        <f>GO26*Wirtschaftlichkeit!$Z$5/Wirtschaftlichkeit!$Z$7</f>
        <v>10.399208672329504</v>
      </c>
      <c r="GV26" s="284">
        <f t="shared" si="60"/>
        <v>752.88868997180566</v>
      </c>
      <c r="GW26" s="266"/>
      <c r="GX26" s="258">
        <v>1533</v>
      </c>
      <c r="GY26" s="270">
        <f>IF(Berechnung_Diagramme!$C$28=Berechnungen_Lastgang!$F$2,Berechnungen_Lastgang!G26,IF(Berechnung_Diagramme!$C$28=Berechnungen_Lastgang!$P$2,Berechnungen_Lastgang!Q26,IF(Berechnung_Diagramme!$C$28=Berechnungen_Lastgang!$Z$2,Berechnungen_Lastgang!AA26,IF(Berechnung_Diagramme!$C$28=Berechnungen_Lastgang!$AJ$2,Berechnungen_Lastgang!AK26,IF(Berechnung_Diagramme!$C$28=Berechnungen_Lastgang!$AT$2,Berechnungen_Lastgang!AU26,IF(Berechnung_Diagramme!$C$28=Berechnungen_Lastgang!$BD$2,Berechnungen_Lastgang!BE26,IF(Berechnung_Diagramme!$C$28=Berechnungen_Lastgang!$BN$2,Berechnungen_Lastgang!BO26,IF(Berechnung_Diagramme!$C$28=Berechnungen_Lastgang!$BX$2,Berechnungen_Lastgang!BY26,IF(Berechnung_Diagramme!$C$28=Berechnungen_Lastgang!$CH$2,Berechnungen_Lastgang!CI26,IF(Berechnung_Diagramme!$C$28=Berechnungen_Lastgang!$CR$2,Berechnungen_Lastgang!CS26,IF(Berechnung_Diagramme!$C$28=Berechnungen_Lastgang!$DB$2,Berechnungen_Lastgang!DC26,IF(Berechnung_Diagramme!$C$28=Berechnungen_Lastgang!$DL$2,Berechnungen_Lastgang!DM26,IF(Berechnung_Diagramme!$C$28=Berechnungen_Lastgang!$DV$2,Berechnungen_Lastgang!DW26,IF(Berechnung_Diagramme!$C$28=Berechnungen_Lastgang!$EF$2,Berechnungen_Lastgang!EG26,IF(Berechnung_Diagramme!$C$28=Berechnungen_Lastgang!$EP$2,Berechnungen_Lastgang!EQ26,IF(Berechnung_Diagramme!$C$28=Berechnungen_Lastgang!$EZ$2,Berechnungen_Lastgang!FA26,IF(Berechnung_Diagramme!$C$28=Berechnungen_Lastgang!$FJ$2,Berechnungen_Lastgang!FK26,IF(Berechnung_Diagramme!$C$28=Berechnungen_Lastgang!$FT$2,Berechnungen_Lastgang!FU26,IF(Berechnung_Diagramme!$C$28=Berechnungen_Lastgang!$GD$2,Berechnungen_Lastgang!GE26,IF(Berechnung_Diagramme!$C$28=Berechnungen_Lastgang!$GN$2,Berechnungen_Lastgang!GO26,""))))))))))))))))))))</f>
        <v>20.73105</v>
      </c>
    </row>
    <row r="27" spans="2:207" ht="14.45" x14ac:dyDescent="0.3">
      <c r="B27" s="64">
        <v>1606</v>
      </c>
      <c r="C27" s="67">
        <f>C26+((C30-C26)/(B30-B26))*(B27-B26)</f>
        <v>20.389499999999998</v>
      </c>
      <c r="D27" s="66">
        <f t="shared" si="0"/>
        <v>1475.9669249999999</v>
      </c>
      <c r="F27" s="64">
        <v>1606</v>
      </c>
      <c r="G27" s="225">
        <f>IF($C27&gt;=Wirtschaftlichkeit!$G$8,Wirtschaftlichkeit!$G$8,IF(AND($C27&lt;=Wirtschaftlichkeit!$G$8,$C27&gt;=Wirtschaftlichkeit!$G$8*Eingabemaske!$B$18),$C27,"0"))</f>
        <v>2.8333333333333335</v>
      </c>
      <c r="H27" s="64">
        <v>1606</v>
      </c>
      <c r="I27" s="66">
        <f t="shared" si="1"/>
        <v>206.83333333333334</v>
      </c>
      <c r="J27" s="64">
        <v>1606</v>
      </c>
      <c r="K27" s="71">
        <f t="shared" si="2"/>
        <v>2.8333333333333335</v>
      </c>
      <c r="L27" s="312">
        <v>1606</v>
      </c>
      <c r="M27" s="286">
        <f>G27*Wirtschaftlichkeit!$G$5/Wirtschaftlichkeit!$G$7</f>
        <v>1</v>
      </c>
      <c r="N27" s="284">
        <f t="shared" si="3"/>
        <v>73</v>
      </c>
      <c r="P27" s="222">
        <v>1606</v>
      </c>
      <c r="Q27" s="225">
        <f>IF($C27&gt;=Wirtschaftlichkeit!$H$8,Wirtschaftlichkeit!$H$8,IF(AND($C27&lt;=Wirtschaftlichkeit!$H$8,$C27&gt;=Wirtschaftlichkeit!$H$8*Eingabemaske!$B$18),$C27,"0"))</f>
        <v>5.5876288659793811</v>
      </c>
      <c r="R27" s="222">
        <v>1606</v>
      </c>
      <c r="S27" s="224">
        <f t="shared" si="4"/>
        <v>407.89690721649481</v>
      </c>
      <c r="T27" s="222">
        <v>1606</v>
      </c>
      <c r="U27" s="226">
        <f t="shared" si="5"/>
        <v>5.5876288659793811</v>
      </c>
      <c r="V27" s="312">
        <v>1606</v>
      </c>
      <c r="W27" s="286">
        <f>Q27*Wirtschaftlichkeit!$H$5/Wirtschaftlichkeit!$H$7</f>
        <v>2</v>
      </c>
      <c r="X27" s="284">
        <f t="shared" si="6"/>
        <v>146</v>
      </c>
      <c r="Z27" s="222">
        <v>1606</v>
      </c>
      <c r="AA27" s="225">
        <f>IF($C27&gt;=Wirtschaftlichkeit!$I$8,Wirtschaftlichkeit!$I$8,IF(AND($C27&lt;=Wirtschaftlichkeit!$I$8,$C27&gt;=Wirtschaftlichkeit!$I$8*Eingabemaske!$B$18),$C27,"0"))</f>
        <v>8.2471643149712612</v>
      </c>
      <c r="AB27" s="222">
        <v>1606</v>
      </c>
      <c r="AC27" s="224">
        <f t="shared" si="7"/>
        <v>602.04299499290209</v>
      </c>
      <c r="AD27" s="222">
        <v>1606</v>
      </c>
      <c r="AE27" s="226">
        <f t="shared" si="8"/>
        <v>8.2471643149712612</v>
      </c>
      <c r="AF27" s="312">
        <v>1606</v>
      </c>
      <c r="AG27" s="286">
        <f>AA27*Wirtschaftlichkeit!$I$5/Wirtschaftlichkeit!$I$7</f>
        <v>3.0000000000000004</v>
      </c>
      <c r="AH27" s="284">
        <f t="shared" si="9"/>
        <v>219.00000000000003</v>
      </c>
      <c r="AJ27" s="222">
        <v>1606</v>
      </c>
      <c r="AK27" s="225">
        <f>IF($C27&gt;=Wirtschaftlichkeit!$J$8,Wirtschaftlichkeit!$J$8,IF(AND($C27&lt;=Wirtschaftlichkeit!$J$8,$C27&gt;=Wirtschaftlichkeit!$J$8*Eingabemaske!$B$18),$C27,"0"))</f>
        <v>10.537455322965799</v>
      </c>
      <c r="AL27" s="222">
        <v>1606</v>
      </c>
      <c r="AM27" s="224">
        <f t="shared" si="10"/>
        <v>769.23423857650334</v>
      </c>
      <c r="AN27" s="222">
        <v>1606</v>
      </c>
      <c r="AO27" s="226">
        <f t="shared" si="11"/>
        <v>10.537455322965799</v>
      </c>
      <c r="AP27" s="312">
        <v>1606</v>
      </c>
      <c r="AQ27" s="286">
        <f>AK27*Wirtschaftlichkeit!$J$5/Wirtschaftlichkeit!$J$7</f>
        <v>4</v>
      </c>
      <c r="AR27" s="284">
        <f t="shared" si="12"/>
        <v>292</v>
      </c>
      <c r="AT27" s="222">
        <v>1606</v>
      </c>
      <c r="AU27" s="225">
        <f>IF($C27&gt;=Wirtschaftlichkeit!$K$8,Wirtschaftlichkeit!$K$8,IF(AND($C27&lt;=Wirtschaftlichkeit!$K$8,$C27&gt;=Wirtschaftlichkeit!$K$8*Eingabemaske!$B$18),$C27,"0"))</f>
        <v>12.739122166763016</v>
      </c>
      <c r="AV27" s="222">
        <v>1606</v>
      </c>
      <c r="AW27" s="224">
        <f t="shared" si="13"/>
        <v>929.95591817370018</v>
      </c>
      <c r="AX27" s="222">
        <v>1606</v>
      </c>
      <c r="AY27" s="226">
        <f t="shared" si="14"/>
        <v>12.739122166763016</v>
      </c>
      <c r="AZ27" s="312">
        <v>1606</v>
      </c>
      <c r="BA27" s="286">
        <f>AU27*Wirtschaftlichkeit!$K$5/Wirtschaftlichkeit!$K$7</f>
        <v>5</v>
      </c>
      <c r="BB27" s="284">
        <f t="shared" si="15"/>
        <v>365</v>
      </c>
      <c r="BD27" s="222">
        <v>1606</v>
      </c>
      <c r="BE27" s="225">
        <f>IF($C27&gt;=Wirtschaftlichkeit!$L$8,Wirtschaftlichkeit!$L$8,IF(AND($C27&lt;=Wirtschaftlichkeit!$L$8,$C27&gt;=Wirtschaftlichkeit!$L$8*Eingabemaske!$B$18),$C27,"0"))</f>
        <v>14.87189090675227</v>
      </c>
      <c r="BF27" s="222">
        <v>1606</v>
      </c>
      <c r="BG27" s="224">
        <f t="shared" si="16"/>
        <v>1085.6480361929157</v>
      </c>
      <c r="BH27" s="222">
        <v>1606</v>
      </c>
      <c r="BI27" s="226">
        <f t="shared" si="17"/>
        <v>14.87189090675227</v>
      </c>
      <c r="BJ27" s="312">
        <v>1606</v>
      </c>
      <c r="BK27" s="286">
        <f>BE27*Wirtschaftlichkeit!$L$5/Wirtschaftlichkeit!$L$7</f>
        <v>6</v>
      </c>
      <c r="BL27" s="284">
        <f t="shared" si="18"/>
        <v>438</v>
      </c>
      <c r="BN27" s="222">
        <v>1606</v>
      </c>
      <c r="BO27" s="225">
        <f>IF($C27&gt;=Wirtschaftlichkeit!$M$8,Wirtschaftlichkeit!$M$8,IF(AND($C27&lt;=Wirtschaftlichkeit!$M$8,$C27&gt;=Wirtschaftlichkeit!$M$8*Eingabemaske!$B$18),$C27,"0"))</f>
        <v>16.948500863015312</v>
      </c>
      <c r="BP27" s="222">
        <v>1606</v>
      </c>
      <c r="BQ27" s="224">
        <f t="shared" si="19"/>
        <v>1237.2405630001178</v>
      </c>
      <c r="BR27" s="222">
        <v>1606</v>
      </c>
      <c r="BS27" s="226">
        <f t="shared" si="20"/>
        <v>16.948500863015312</v>
      </c>
      <c r="BT27" s="312">
        <v>1606</v>
      </c>
      <c r="BU27" s="286">
        <f>BO27*Wirtschaftlichkeit!$M$5/Wirtschaftlichkeit!$M$7</f>
        <v>7</v>
      </c>
      <c r="BV27" s="284">
        <f t="shared" si="21"/>
        <v>511</v>
      </c>
      <c r="BX27" s="222">
        <v>1606</v>
      </c>
      <c r="BY27" s="225">
        <f>IF($C27&gt;=Wirtschaftlichkeit!$N$8,Wirtschaftlichkeit!$N$8,IF(AND($C27&lt;=Wirtschaftlichkeit!$N$8,$C27&gt;=Wirtschaftlichkeit!$N$8*Eingabemaske!$B$18),$C27,"0"))</f>
        <v>18.977838419132468</v>
      </c>
      <c r="BZ27" s="222">
        <v>1606</v>
      </c>
      <c r="CA27" s="224">
        <f t="shared" si="22"/>
        <v>1385.3822045966701</v>
      </c>
      <c r="CB27" s="222">
        <v>1606</v>
      </c>
      <c r="CC27" s="226">
        <f t="shared" si="23"/>
        <v>18.977838419132468</v>
      </c>
      <c r="CD27" s="312">
        <v>1606</v>
      </c>
      <c r="CE27" s="286">
        <f>BY27*Wirtschaftlichkeit!$N$5/Wirtschaftlichkeit!$N$7</f>
        <v>8</v>
      </c>
      <c r="CF27" s="284">
        <f t="shared" si="24"/>
        <v>584</v>
      </c>
      <c r="CH27" s="222">
        <v>1606</v>
      </c>
      <c r="CI27" s="225">
        <f>IF($C27&gt;=Wirtschaftlichkeit!$O$8,Wirtschaftlichkeit!$O$8,IF(AND($C27&lt;=Wirtschaftlichkeit!$O$8,$C27&gt;=Wirtschaftlichkeit!$O$8*Eingabemaske!$B$18),$C27,"0"))</f>
        <v>20.389499999999998</v>
      </c>
      <c r="CJ27" s="222">
        <v>1606</v>
      </c>
      <c r="CK27" s="224">
        <f t="shared" si="25"/>
        <v>1475.9669249999999</v>
      </c>
      <c r="CL27" s="222">
        <v>1606</v>
      </c>
      <c r="CM27" s="226">
        <f t="shared" si="26"/>
        <v>20.389499999999998</v>
      </c>
      <c r="CN27" s="312">
        <v>1606</v>
      </c>
      <c r="CO27" s="286">
        <f>CI27*Wirtschaftlichkeit!$O$5/Wirtschaftlichkeit!$O$7</f>
        <v>8.7523428632482396</v>
      </c>
      <c r="CP27" s="284">
        <f t="shared" si="27"/>
        <v>633.56965999235877</v>
      </c>
      <c r="CR27" s="222">
        <v>1606</v>
      </c>
      <c r="CS27" s="225">
        <f>IF($C27&gt;=Wirtschaftlichkeit!$P$8,Wirtschaftlichkeit!$P$8,IF(AND($C27&lt;=Wirtschaftlichkeit!$P$8,$C27&gt;=Wirtschaftlichkeit!$P$8*Eingabemaske!$B$18),$C27,"0"))</f>
        <v>20.389499999999998</v>
      </c>
      <c r="CT27" s="222">
        <v>1606</v>
      </c>
      <c r="CU27" s="224">
        <f t="shared" si="28"/>
        <v>1475.9669249999999</v>
      </c>
      <c r="CV27" s="222">
        <v>1606</v>
      </c>
      <c r="CW27" s="226">
        <f t="shared" si="29"/>
        <v>20.389499999999998</v>
      </c>
      <c r="CX27" s="312">
        <v>1606</v>
      </c>
      <c r="CY27" s="286">
        <f>CS27*Wirtschaftlichkeit!$P$5/Wirtschaftlichkeit!$P$7</f>
        <v>8.896205603766175</v>
      </c>
      <c r="CZ27" s="284">
        <f t="shared" si="30"/>
        <v>643.98367930349093</v>
      </c>
      <c r="DB27" s="222">
        <v>1606</v>
      </c>
      <c r="DC27" s="225">
        <f>IF($C27&gt;=Wirtschaftlichkeit!$Q$8,Wirtschaftlichkeit!$Q$8,IF(AND($C27&lt;=Wirtschaftlichkeit!$Q$8,$C27&gt;=Wirtschaftlichkeit!$Q$8*Eingabemaske!$B$18),$C27,"0"))</f>
        <v>20.389499999999998</v>
      </c>
      <c r="DD27" s="222">
        <v>1606</v>
      </c>
      <c r="DE27" s="224">
        <f t="shared" si="31"/>
        <v>1475.9669249999999</v>
      </c>
      <c r="DF27" s="222">
        <v>1606</v>
      </c>
      <c r="DG27" s="226">
        <f t="shared" si="32"/>
        <v>20.389499999999998</v>
      </c>
      <c r="DH27" s="312">
        <v>1606</v>
      </c>
      <c r="DI27" s="286">
        <f>DC27*Wirtschaftlichkeit!$Q$5/Wirtschaftlichkeit!$Q$7</f>
        <v>9.3357279260333268</v>
      </c>
      <c r="DJ27" s="284">
        <f t="shared" si="33"/>
        <v>675.80007551063238</v>
      </c>
      <c r="DL27" s="222">
        <v>1606</v>
      </c>
      <c r="DM27" s="225">
        <f>IF($C27&gt;=Wirtschaftlichkeit!$R$8,Wirtschaftlichkeit!$R$8,IF(AND($C27&lt;=Wirtschaftlichkeit!$R$8,$C27&gt;=Wirtschaftlichkeit!$R$8*Eingabemaske!$B$18),$C27,"0"))</f>
        <v>20.389499999999998</v>
      </c>
      <c r="DN27" s="222">
        <v>1606</v>
      </c>
      <c r="DO27" s="224">
        <f t="shared" si="34"/>
        <v>1475.9669249999999</v>
      </c>
      <c r="DP27" s="222">
        <v>1606</v>
      </c>
      <c r="DQ27" s="226">
        <f t="shared" si="35"/>
        <v>20.389499999999998</v>
      </c>
      <c r="DR27" s="312">
        <v>1606</v>
      </c>
      <c r="DS27" s="286">
        <f>DM27*Wirtschaftlichkeit!$R$5/Wirtschaftlichkeit!$R$7</f>
        <v>9.45900185451905</v>
      </c>
      <c r="DT27" s="284">
        <f t="shared" si="36"/>
        <v>684.72369998203874</v>
      </c>
      <c r="DV27" s="222">
        <v>1606</v>
      </c>
      <c r="DW27" s="225">
        <f>IF($C27&gt;=Wirtschaftlichkeit!$S$8,Wirtschaftlichkeit!$S$8,IF(AND($C27&lt;=Wirtschaftlichkeit!$S$8,$C27&gt;=Wirtschaftlichkeit!$S$8*Eingabemaske!$B$18),$C27,"0"))</f>
        <v>20.389499999999998</v>
      </c>
      <c r="DX27" s="222">
        <v>1606</v>
      </c>
      <c r="DY27" s="224">
        <f t="shared" si="37"/>
        <v>1475.9669249999999</v>
      </c>
      <c r="DZ27" s="222">
        <v>1606</v>
      </c>
      <c r="EA27" s="226">
        <f t="shared" si="38"/>
        <v>20.389499999999998</v>
      </c>
      <c r="EB27" s="312">
        <v>1606</v>
      </c>
      <c r="EC27" s="286">
        <f>DW27*Wirtschaftlichkeit!$S$5/Wirtschaftlichkeit!$S$7</f>
        <v>9.5743025933077082</v>
      </c>
      <c r="ED27" s="284">
        <f t="shared" si="39"/>
        <v>693.070156583727</v>
      </c>
      <c r="EF27" s="222">
        <v>1606</v>
      </c>
      <c r="EG27" s="225">
        <f>IF($C27&gt;=Wirtschaftlichkeit!$T$8,Wirtschaftlichkeit!$T$8,IF(AND($C27&lt;=Wirtschaftlichkeit!$T$8,$C27&gt;=Wirtschaftlichkeit!$T$8*Eingabemaske!$B$18),$C27,"0"))</f>
        <v>20.389499999999998</v>
      </c>
      <c r="EH27" s="222">
        <v>1606</v>
      </c>
      <c r="EI27" s="224">
        <f t="shared" si="40"/>
        <v>1475.9669249999999</v>
      </c>
      <c r="EJ27" s="222">
        <v>1606</v>
      </c>
      <c r="EK27" s="226">
        <f t="shared" si="41"/>
        <v>20.389499999999998</v>
      </c>
      <c r="EL27" s="312">
        <v>1606</v>
      </c>
      <c r="EM27" s="286">
        <f>EG27*Wirtschaftlichkeit!$T$5/Wirtschaftlichkeit!$T$7</f>
        <v>9.682713351582894</v>
      </c>
      <c r="EN27" s="284">
        <f t="shared" si="42"/>
        <v>700.9178572889108</v>
      </c>
      <c r="EP27" s="222">
        <v>1606</v>
      </c>
      <c r="EQ27" s="225">
        <f>IF($C27&gt;=Wirtschaftlichkeit!$U$8,Wirtschaftlichkeit!$U$8,IF(AND($C27&lt;=Wirtschaftlichkeit!$U$8,$C27&gt;=Wirtschaftlichkeit!$U$8*Eingabemaske!$B$18),$C27,"0"))</f>
        <v>20.389499999999998</v>
      </c>
      <c r="ER27" s="222">
        <v>1606</v>
      </c>
      <c r="ES27" s="224">
        <f t="shared" si="43"/>
        <v>1475.9669249999999</v>
      </c>
      <c r="ET27" s="222">
        <v>1606</v>
      </c>
      <c r="EU27" s="226">
        <f t="shared" si="44"/>
        <v>20.389499999999998</v>
      </c>
      <c r="EV27" s="312">
        <v>1606</v>
      </c>
      <c r="EW27" s="286">
        <f>EQ27*Wirtschaftlichkeit!$U$5/Wirtschaftlichkeit!$U$7</f>
        <v>9.7851046441307314</v>
      </c>
      <c r="EX27" s="284">
        <f t="shared" si="45"/>
        <v>708.32981742567767</v>
      </c>
      <c r="EZ27" s="222">
        <v>1606</v>
      </c>
      <c r="FA27" s="225">
        <f>IF($C27&gt;=Wirtschaftlichkeit!$V$8,Wirtschaftlichkeit!$V$8,IF(AND($C27&lt;=Wirtschaftlichkeit!$V$8,$C27&gt;=Wirtschaftlichkeit!$V$8*Eingabemaske!$B$18),$C27,"0"))</f>
        <v>20.389499999999998</v>
      </c>
      <c r="FB27" s="222">
        <v>1606</v>
      </c>
      <c r="FC27" s="224">
        <f t="shared" si="46"/>
        <v>1475.9669249999999</v>
      </c>
      <c r="FD27" s="222">
        <v>1606</v>
      </c>
      <c r="FE27" s="226">
        <f t="shared" si="47"/>
        <v>20.389499999999998</v>
      </c>
      <c r="FF27" s="312">
        <v>1606</v>
      </c>
      <c r="FG27" s="286">
        <f>FA27*Wirtschaftlichkeit!$V$5/Wirtschaftlichkeit!$V$7</f>
        <v>9.8821872260166561</v>
      </c>
      <c r="FH27" s="284">
        <f t="shared" si="48"/>
        <v>715.35748754300425</v>
      </c>
      <c r="FJ27" s="222">
        <v>1606</v>
      </c>
      <c r="FK27" s="225">
        <f>IF($C27&gt;=Wirtschaftlichkeit!$W$8,Wirtschaftlichkeit!$W$8,IF(AND($C27&lt;=Wirtschaftlichkeit!$W$8,$C27&gt;=Wirtschaftlichkeit!$W$8*Eingabemaske!$B$18),$C27,"0"))</f>
        <v>20.389499999999998</v>
      </c>
      <c r="FL27" s="222">
        <v>1606</v>
      </c>
      <c r="FM27" s="224">
        <f t="shared" si="49"/>
        <v>1475.9669249999999</v>
      </c>
      <c r="FN27" s="222">
        <v>1606</v>
      </c>
      <c r="FO27" s="226">
        <f t="shared" si="50"/>
        <v>20.389499999999998</v>
      </c>
      <c r="FP27" s="312">
        <v>1606</v>
      </c>
      <c r="FQ27" s="286">
        <f>FK27*Wirtschaftlichkeit!$W$5/Wirtschaftlichkeit!$W$7</f>
        <v>9.9745494140218636</v>
      </c>
      <c r="FR27" s="284">
        <f t="shared" si="51"/>
        <v>722.04345505649485</v>
      </c>
      <c r="FT27" s="222">
        <v>1606</v>
      </c>
      <c r="FU27" s="225">
        <f>IF($C27&gt;=Wirtschaftlichkeit!$X$8,Wirtschaftlichkeit!$X$8,IF(AND($C27&lt;=Wirtschaftlichkeit!$X$8,$C27&gt;=Wirtschaftlichkeit!$X$8*Eingabemaske!$B$18),$C27,"0"))</f>
        <v>20.389499999999998</v>
      </c>
      <c r="FV27" s="222">
        <v>1606</v>
      </c>
      <c r="FW27" s="224">
        <f t="shared" si="52"/>
        <v>1475.9669249999999</v>
      </c>
      <c r="FX27" s="222">
        <v>1606</v>
      </c>
      <c r="FY27" s="226">
        <f t="shared" si="53"/>
        <v>20.389499999999998</v>
      </c>
      <c r="FZ27" s="312">
        <v>1606</v>
      </c>
      <c r="GA27" s="286">
        <f>FU27*Wirtschaftlichkeit!$X$5/Wirtschaftlichkeit!$X$7</f>
        <v>10.062684036455479</v>
      </c>
      <c r="GB27" s="284">
        <f t="shared" si="54"/>
        <v>728.42339510698071</v>
      </c>
      <c r="GD27" s="222">
        <v>1606</v>
      </c>
      <c r="GE27" s="225">
        <f>IF($C27&gt;=Wirtschaftlichkeit!$Y$8,Wirtschaftlichkeit!$Y$8,IF(AND($C27&lt;=Wirtschaftlichkeit!$Y$8,$C27&gt;=Wirtschaftlichkeit!$Y$8*Eingabemaske!$B$18),$C27,"0"))</f>
        <v>20.389499999999998</v>
      </c>
      <c r="GF27" s="222">
        <v>1606</v>
      </c>
      <c r="GG27" s="224">
        <f t="shared" si="55"/>
        <v>1475.9669249999999</v>
      </c>
      <c r="GH27" s="222">
        <v>1606</v>
      </c>
      <c r="GI27" s="226">
        <f t="shared" si="56"/>
        <v>20.389499999999998</v>
      </c>
      <c r="GJ27" s="312">
        <v>1606</v>
      </c>
      <c r="GK27" s="286">
        <f>GE27*Wirtschaftlichkeit!$Y$5/Wirtschaftlichkeit!$Y$7</f>
        <v>10.147008302871173</v>
      </c>
      <c r="GL27" s="284">
        <f t="shared" si="57"/>
        <v>734.52750890106358</v>
      </c>
      <c r="GN27" s="222">
        <v>1606</v>
      </c>
      <c r="GO27" s="225">
        <f>IF($C27&gt;=Wirtschaftlichkeit!$Z$8,Wirtschaftlichkeit!$Z$8,IF(AND($C27&lt;=Wirtschaftlichkeit!$Z$8,$C27&gt;=Wirtschaftlichkeit!$Z$8*Eingabemaske!$B$18),$C27,"0"))</f>
        <v>20.389499999999998</v>
      </c>
      <c r="GP27" s="222">
        <v>1606</v>
      </c>
      <c r="GQ27" s="224">
        <f t="shared" si="58"/>
        <v>1475.9669249999999</v>
      </c>
      <c r="GR27" s="222">
        <v>1606</v>
      </c>
      <c r="GS27" s="226">
        <f t="shared" si="59"/>
        <v>20.389499999999998</v>
      </c>
      <c r="GT27" s="312">
        <v>1606</v>
      </c>
      <c r="GU27" s="286">
        <f>GO27*Wirtschaftlichkeit!$Z$5/Wirtschaftlichkeit!$Z$7</f>
        <v>10.227878724158323</v>
      </c>
      <c r="GV27" s="284">
        <f t="shared" si="60"/>
        <v>740.38160375530947</v>
      </c>
      <c r="GW27" s="266"/>
      <c r="GX27" s="258">
        <v>1606</v>
      </c>
      <c r="GY27" s="270">
        <f>IF(Berechnung_Diagramme!$C$28=Berechnungen_Lastgang!$F$2,Berechnungen_Lastgang!G27,IF(Berechnung_Diagramme!$C$28=Berechnungen_Lastgang!$P$2,Berechnungen_Lastgang!Q27,IF(Berechnung_Diagramme!$C$28=Berechnungen_Lastgang!$Z$2,Berechnungen_Lastgang!AA27,IF(Berechnung_Diagramme!$C$28=Berechnungen_Lastgang!$AJ$2,Berechnungen_Lastgang!AK27,IF(Berechnung_Diagramme!$C$28=Berechnungen_Lastgang!$AT$2,Berechnungen_Lastgang!AU27,IF(Berechnung_Diagramme!$C$28=Berechnungen_Lastgang!$BD$2,Berechnungen_Lastgang!BE27,IF(Berechnung_Diagramme!$C$28=Berechnungen_Lastgang!$BN$2,Berechnungen_Lastgang!BO27,IF(Berechnung_Diagramme!$C$28=Berechnungen_Lastgang!$BX$2,Berechnungen_Lastgang!BY27,IF(Berechnung_Diagramme!$C$28=Berechnungen_Lastgang!$CH$2,Berechnungen_Lastgang!CI27,IF(Berechnung_Diagramme!$C$28=Berechnungen_Lastgang!$CR$2,Berechnungen_Lastgang!CS27,IF(Berechnung_Diagramme!$C$28=Berechnungen_Lastgang!$DB$2,Berechnungen_Lastgang!DC27,IF(Berechnung_Diagramme!$C$28=Berechnungen_Lastgang!$DL$2,Berechnungen_Lastgang!DM27,IF(Berechnung_Diagramme!$C$28=Berechnungen_Lastgang!$DV$2,Berechnungen_Lastgang!DW27,IF(Berechnung_Diagramme!$C$28=Berechnungen_Lastgang!$EF$2,Berechnungen_Lastgang!EG27,IF(Berechnung_Diagramme!$C$28=Berechnungen_Lastgang!$EP$2,Berechnungen_Lastgang!EQ27,IF(Berechnung_Diagramme!$C$28=Berechnungen_Lastgang!$EZ$2,Berechnungen_Lastgang!FA27,IF(Berechnung_Diagramme!$C$28=Berechnungen_Lastgang!$FJ$2,Berechnungen_Lastgang!FK27,IF(Berechnung_Diagramme!$C$28=Berechnungen_Lastgang!$FT$2,Berechnungen_Lastgang!FU27,IF(Berechnung_Diagramme!$C$28=Berechnungen_Lastgang!$GD$2,Berechnungen_Lastgang!GE27,IF(Berechnung_Diagramme!$C$28=Berechnungen_Lastgang!$GN$2,Berechnungen_Lastgang!GO27,""))))))))))))))))))))</f>
        <v>20.389499999999998</v>
      </c>
    </row>
    <row r="28" spans="2:207" ht="14.45" x14ac:dyDescent="0.3">
      <c r="B28" s="64">
        <v>1679</v>
      </c>
      <c r="C28" s="67">
        <f>C27+((C30-C27)/(B30-B27))*(B28-B27)</f>
        <v>20.04795</v>
      </c>
      <c r="D28" s="66">
        <f t="shared" si="0"/>
        <v>1451.0337750000001</v>
      </c>
      <c r="F28" s="64">
        <v>1679</v>
      </c>
      <c r="G28" s="225">
        <f>IF($C28&gt;=Wirtschaftlichkeit!$G$8,Wirtschaftlichkeit!$G$8,IF(AND($C28&lt;=Wirtschaftlichkeit!$G$8,$C28&gt;=Wirtschaftlichkeit!$G$8*Eingabemaske!$B$18),$C28,"0"))</f>
        <v>2.8333333333333335</v>
      </c>
      <c r="H28" s="64">
        <v>1679</v>
      </c>
      <c r="I28" s="66">
        <f t="shared" si="1"/>
        <v>206.83333333333334</v>
      </c>
      <c r="J28" s="64">
        <v>1679</v>
      </c>
      <c r="K28" s="71">
        <f t="shared" si="2"/>
        <v>2.8333333333333335</v>
      </c>
      <c r="L28" s="312">
        <v>1679</v>
      </c>
      <c r="M28" s="286">
        <f>G28*Wirtschaftlichkeit!$G$5/Wirtschaftlichkeit!$G$7</f>
        <v>1</v>
      </c>
      <c r="N28" s="284">
        <f t="shared" si="3"/>
        <v>73</v>
      </c>
      <c r="P28" s="222">
        <v>1679</v>
      </c>
      <c r="Q28" s="225">
        <f>IF($C28&gt;=Wirtschaftlichkeit!$H$8,Wirtschaftlichkeit!$H$8,IF(AND($C28&lt;=Wirtschaftlichkeit!$H$8,$C28&gt;=Wirtschaftlichkeit!$H$8*Eingabemaske!$B$18),$C28,"0"))</f>
        <v>5.5876288659793811</v>
      </c>
      <c r="R28" s="222">
        <v>1679</v>
      </c>
      <c r="S28" s="224">
        <f t="shared" si="4"/>
        <v>407.89690721649481</v>
      </c>
      <c r="T28" s="222">
        <v>1679</v>
      </c>
      <c r="U28" s="226">
        <f t="shared" si="5"/>
        <v>5.5876288659793811</v>
      </c>
      <c r="V28" s="312">
        <v>1679</v>
      </c>
      <c r="W28" s="286">
        <f>Q28*Wirtschaftlichkeit!$H$5/Wirtschaftlichkeit!$H$7</f>
        <v>2</v>
      </c>
      <c r="X28" s="284">
        <f t="shared" si="6"/>
        <v>146</v>
      </c>
      <c r="Z28" s="222">
        <v>1679</v>
      </c>
      <c r="AA28" s="225">
        <f>IF($C28&gt;=Wirtschaftlichkeit!$I$8,Wirtschaftlichkeit!$I$8,IF(AND($C28&lt;=Wirtschaftlichkeit!$I$8,$C28&gt;=Wirtschaftlichkeit!$I$8*Eingabemaske!$B$18),$C28,"0"))</f>
        <v>8.2471643149712612</v>
      </c>
      <c r="AB28" s="222">
        <v>1679</v>
      </c>
      <c r="AC28" s="224">
        <f t="shared" si="7"/>
        <v>602.04299499290209</v>
      </c>
      <c r="AD28" s="222">
        <v>1679</v>
      </c>
      <c r="AE28" s="226">
        <f t="shared" si="8"/>
        <v>8.2471643149712612</v>
      </c>
      <c r="AF28" s="312">
        <v>1679</v>
      </c>
      <c r="AG28" s="286">
        <f>AA28*Wirtschaftlichkeit!$I$5/Wirtschaftlichkeit!$I$7</f>
        <v>3.0000000000000004</v>
      </c>
      <c r="AH28" s="284">
        <f t="shared" si="9"/>
        <v>219.00000000000003</v>
      </c>
      <c r="AJ28" s="222">
        <v>1679</v>
      </c>
      <c r="AK28" s="225">
        <f>IF($C28&gt;=Wirtschaftlichkeit!$J$8,Wirtschaftlichkeit!$J$8,IF(AND($C28&lt;=Wirtschaftlichkeit!$J$8,$C28&gt;=Wirtschaftlichkeit!$J$8*Eingabemaske!$B$18),$C28,"0"))</f>
        <v>10.537455322965799</v>
      </c>
      <c r="AL28" s="222">
        <v>1679</v>
      </c>
      <c r="AM28" s="224">
        <f t="shared" si="10"/>
        <v>769.23423857650334</v>
      </c>
      <c r="AN28" s="222">
        <v>1679</v>
      </c>
      <c r="AO28" s="226">
        <f t="shared" si="11"/>
        <v>10.537455322965799</v>
      </c>
      <c r="AP28" s="312">
        <v>1679</v>
      </c>
      <c r="AQ28" s="286">
        <f>AK28*Wirtschaftlichkeit!$J$5/Wirtschaftlichkeit!$J$7</f>
        <v>4</v>
      </c>
      <c r="AR28" s="284">
        <f t="shared" si="12"/>
        <v>292</v>
      </c>
      <c r="AT28" s="222">
        <v>1679</v>
      </c>
      <c r="AU28" s="225">
        <f>IF($C28&gt;=Wirtschaftlichkeit!$K$8,Wirtschaftlichkeit!$K$8,IF(AND($C28&lt;=Wirtschaftlichkeit!$K$8,$C28&gt;=Wirtschaftlichkeit!$K$8*Eingabemaske!$B$18),$C28,"0"))</f>
        <v>12.739122166763016</v>
      </c>
      <c r="AV28" s="222">
        <v>1679</v>
      </c>
      <c r="AW28" s="224">
        <f t="shared" si="13"/>
        <v>929.95591817370018</v>
      </c>
      <c r="AX28" s="222">
        <v>1679</v>
      </c>
      <c r="AY28" s="226">
        <f t="shared" si="14"/>
        <v>12.739122166763016</v>
      </c>
      <c r="AZ28" s="312">
        <v>1679</v>
      </c>
      <c r="BA28" s="286">
        <f>AU28*Wirtschaftlichkeit!$K$5/Wirtschaftlichkeit!$K$7</f>
        <v>5</v>
      </c>
      <c r="BB28" s="284">
        <f t="shared" si="15"/>
        <v>365</v>
      </c>
      <c r="BD28" s="222">
        <v>1679</v>
      </c>
      <c r="BE28" s="225">
        <f>IF($C28&gt;=Wirtschaftlichkeit!$L$8,Wirtschaftlichkeit!$L$8,IF(AND($C28&lt;=Wirtschaftlichkeit!$L$8,$C28&gt;=Wirtschaftlichkeit!$L$8*Eingabemaske!$B$18),$C28,"0"))</f>
        <v>14.87189090675227</v>
      </c>
      <c r="BF28" s="222">
        <v>1679</v>
      </c>
      <c r="BG28" s="224">
        <f t="shared" si="16"/>
        <v>1085.6480361929157</v>
      </c>
      <c r="BH28" s="222">
        <v>1679</v>
      </c>
      <c r="BI28" s="226">
        <f t="shared" si="17"/>
        <v>14.87189090675227</v>
      </c>
      <c r="BJ28" s="312">
        <v>1679</v>
      </c>
      <c r="BK28" s="286">
        <f>BE28*Wirtschaftlichkeit!$L$5/Wirtschaftlichkeit!$L$7</f>
        <v>6</v>
      </c>
      <c r="BL28" s="284">
        <f t="shared" si="18"/>
        <v>438</v>
      </c>
      <c r="BN28" s="222">
        <v>1679</v>
      </c>
      <c r="BO28" s="225">
        <f>IF($C28&gt;=Wirtschaftlichkeit!$M$8,Wirtschaftlichkeit!$M$8,IF(AND($C28&lt;=Wirtschaftlichkeit!$M$8,$C28&gt;=Wirtschaftlichkeit!$M$8*Eingabemaske!$B$18),$C28,"0"))</f>
        <v>16.948500863015312</v>
      </c>
      <c r="BP28" s="222">
        <v>1679</v>
      </c>
      <c r="BQ28" s="224">
        <f t="shared" si="19"/>
        <v>1237.2405630001178</v>
      </c>
      <c r="BR28" s="222">
        <v>1679</v>
      </c>
      <c r="BS28" s="226">
        <f t="shared" si="20"/>
        <v>16.948500863015312</v>
      </c>
      <c r="BT28" s="312">
        <v>1679</v>
      </c>
      <c r="BU28" s="286">
        <f>BO28*Wirtschaftlichkeit!$M$5/Wirtschaftlichkeit!$M$7</f>
        <v>7</v>
      </c>
      <c r="BV28" s="284">
        <f t="shared" si="21"/>
        <v>511</v>
      </c>
      <c r="BX28" s="222">
        <v>1679</v>
      </c>
      <c r="BY28" s="225">
        <f>IF($C28&gt;=Wirtschaftlichkeit!$N$8,Wirtschaftlichkeit!$N$8,IF(AND($C28&lt;=Wirtschaftlichkeit!$N$8,$C28&gt;=Wirtschaftlichkeit!$N$8*Eingabemaske!$B$18),$C28,"0"))</f>
        <v>18.977838419132468</v>
      </c>
      <c r="BZ28" s="222">
        <v>1679</v>
      </c>
      <c r="CA28" s="224">
        <f t="shared" si="22"/>
        <v>1385.3822045966701</v>
      </c>
      <c r="CB28" s="222">
        <v>1679</v>
      </c>
      <c r="CC28" s="226">
        <f t="shared" si="23"/>
        <v>18.977838419132468</v>
      </c>
      <c r="CD28" s="312">
        <v>1679</v>
      </c>
      <c r="CE28" s="286">
        <f>BY28*Wirtschaftlichkeit!$N$5/Wirtschaftlichkeit!$N$7</f>
        <v>8</v>
      </c>
      <c r="CF28" s="284">
        <f t="shared" si="24"/>
        <v>584</v>
      </c>
      <c r="CH28" s="222">
        <v>1679</v>
      </c>
      <c r="CI28" s="225">
        <f>IF($C28&gt;=Wirtschaftlichkeit!$O$8,Wirtschaftlichkeit!$O$8,IF(AND($C28&lt;=Wirtschaftlichkeit!$O$8,$C28&gt;=Wirtschaftlichkeit!$O$8*Eingabemaske!$B$18),$C28,"0"))</f>
        <v>20.04795</v>
      </c>
      <c r="CJ28" s="222">
        <v>1679</v>
      </c>
      <c r="CK28" s="224">
        <f t="shared" si="25"/>
        <v>1451.0337750000001</v>
      </c>
      <c r="CL28" s="222">
        <v>1679</v>
      </c>
      <c r="CM28" s="226">
        <f t="shared" si="26"/>
        <v>20.04795</v>
      </c>
      <c r="CN28" s="312">
        <v>1679</v>
      </c>
      <c r="CO28" s="286">
        <f>CI28*Wirtschaftlichkeit!$O$5/Wirtschaftlichkeit!$O$7</f>
        <v>8.6057300132547425</v>
      </c>
      <c r="CP28" s="284">
        <f t="shared" si="27"/>
        <v>622.86692194283364</v>
      </c>
      <c r="CR28" s="222">
        <v>1679</v>
      </c>
      <c r="CS28" s="225">
        <f>IF($C28&gt;=Wirtschaftlichkeit!$P$8,Wirtschaftlichkeit!$P$8,IF(AND($C28&lt;=Wirtschaftlichkeit!$P$8,$C28&gt;=Wirtschaftlichkeit!$P$8*Eingabemaske!$B$18),$C28,"0"))</f>
        <v>20.04795</v>
      </c>
      <c r="CT28" s="222">
        <v>1679</v>
      </c>
      <c r="CU28" s="224">
        <f t="shared" si="28"/>
        <v>1451.0337750000001</v>
      </c>
      <c r="CV28" s="222">
        <v>1679</v>
      </c>
      <c r="CW28" s="226">
        <f t="shared" si="29"/>
        <v>20.04795</v>
      </c>
      <c r="CX28" s="312">
        <v>1679</v>
      </c>
      <c r="CY28" s="286">
        <f>CS28*Wirtschaftlichkeit!$P$5/Wirtschaftlichkeit!$P$7</f>
        <v>8.7471828703020726</v>
      </c>
      <c r="CZ28" s="284">
        <f t="shared" si="30"/>
        <v>633.10501976061153</v>
      </c>
      <c r="DB28" s="222">
        <v>1679</v>
      </c>
      <c r="DC28" s="225">
        <f>IF($C28&gt;=Wirtschaftlichkeit!$Q$8,Wirtschaftlichkeit!$Q$8,IF(AND($C28&lt;=Wirtschaftlichkeit!$Q$8,$C28&gt;=Wirtschaftlichkeit!$Q$8*Eingabemaske!$B$18),$C28,"0"))</f>
        <v>20.04795</v>
      </c>
      <c r="DD28" s="222">
        <v>1679</v>
      </c>
      <c r="DE28" s="224">
        <f t="shared" si="31"/>
        <v>1451.0337750000001</v>
      </c>
      <c r="DF28" s="222">
        <v>1679</v>
      </c>
      <c r="DG28" s="226">
        <f t="shared" si="32"/>
        <v>20.04795</v>
      </c>
      <c r="DH28" s="312">
        <v>1679</v>
      </c>
      <c r="DI28" s="286">
        <f>DC28*Wirtschaftlichkeit!$Q$5/Wirtschaftlichkeit!$Q$7</f>
        <v>9.1793426359018042</v>
      </c>
      <c r="DJ28" s="284">
        <f t="shared" si="33"/>
        <v>664.3839493310312</v>
      </c>
      <c r="DL28" s="222">
        <v>1679</v>
      </c>
      <c r="DM28" s="225">
        <f>IF($C28&gt;=Wirtschaftlichkeit!$R$8,Wirtschaftlichkeit!$R$8,IF(AND($C28&lt;=Wirtschaftlichkeit!$R$8,$C28&gt;=Wirtschaftlichkeit!$R$8*Eingabemaske!$B$18),$C28,"0"))</f>
        <v>20.04795</v>
      </c>
      <c r="DN28" s="222">
        <v>1679</v>
      </c>
      <c r="DO28" s="224">
        <f t="shared" si="34"/>
        <v>1451.0337750000001</v>
      </c>
      <c r="DP28" s="222">
        <v>1679</v>
      </c>
      <c r="DQ28" s="226">
        <f t="shared" si="35"/>
        <v>20.04795</v>
      </c>
      <c r="DR28" s="312">
        <v>1679</v>
      </c>
      <c r="DS28" s="286">
        <f>DM28*Wirtschaftlichkeit!$R$5/Wirtschaftlichkeit!$R$7</f>
        <v>9.3005515696463963</v>
      </c>
      <c r="DT28" s="284">
        <f t="shared" si="36"/>
        <v>673.15682918633502</v>
      </c>
      <c r="DV28" s="222">
        <v>1679</v>
      </c>
      <c r="DW28" s="225">
        <f>IF($C28&gt;=Wirtschaftlichkeit!$S$8,Wirtschaftlichkeit!$S$8,IF(AND($C28&lt;=Wirtschaftlichkeit!$S$8,$C28&gt;=Wirtschaftlichkeit!$S$8*Eingabemaske!$B$18),$C28,"0"))</f>
        <v>20.04795</v>
      </c>
      <c r="DX28" s="222">
        <v>1679</v>
      </c>
      <c r="DY28" s="224">
        <f t="shared" si="37"/>
        <v>1451.0337750000001</v>
      </c>
      <c r="DZ28" s="222">
        <v>1679</v>
      </c>
      <c r="EA28" s="226">
        <f t="shared" si="38"/>
        <v>20.04795</v>
      </c>
      <c r="EB28" s="312">
        <v>1679</v>
      </c>
      <c r="EC28" s="286">
        <f>DW28*Wirtschaftlichkeit!$S$5/Wirtschaftlichkeit!$S$7</f>
        <v>9.4139208747396097</v>
      </c>
      <c r="ED28" s="284">
        <f t="shared" si="39"/>
        <v>681.36229112825595</v>
      </c>
      <c r="EF28" s="222">
        <v>1679</v>
      </c>
      <c r="EG28" s="225">
        <f>IF($C28&gt;=Wirtschaftlichkeit!$T$8,Wirtschaftlichkeit!$T$8,IF(AND($C28&lt;=Wirtschaftlichkeit!$T$8,$C28&gt;=Wirtschaftlichkeit!$T$8*Eingabemaske!$B$18),$C28,"0"))</f>
        <v>20.04795</v>
      </c>
      <c r="EH28" s="222">
        <v>1679</v>
      </c>
      <c r="EI28" s="224">
        <f t="shared" si="40"/>
        <v>1451.0337750000001</v>
      </c>
      <c r="EJ28" s="222">
        <v>1679</v>
      </c>
      <c r="EK28" s="226">
        <f t="shared" si="41"/>
        <v>20.04795</v>
      </c>
      <c r="EL28" s="312">
        <v>1679</v>
      </c>
      <c r="EM28" s="286">
        <f>EG28*Wirtschaftlichkeit!$T$5/Wirtschaftlichkeit!$T$7</f>
        <v>9.5205156152365813</v>
      </c>
      <c r="EN28" s="284">
        <f t="shared" si="42"/>
        <v>689.07742253563003</v>
      </c>
      <c r="EP28" s="222">
        <v>1679</v>
      </c>
      <c r="EQ28" s="225">
        <f>IF($C28&gt;=Wirtschaftlichkeit!$U$8,Wirtschaftlichkeit!$U$8,IF(AND($C28&lt;=Wirtschaftlichkeit!$U$8,$C28&gt;=Wirtschaftlichkeit!$U$8*Eingabemaske!$B$18),$C28,"0"))</f>
        <v>20.04795</v>
      </c>
      <c r="ER28" s="222">
        <v>1679</v>
      </c>
      <c r="ES28" s="224">
        <f t="shared" si="43"/>
        <v>1451.0337750000001</v>
      </c>
      <c r="ET28" s="222">
        <v>1679</v>
      </c>
      <c r="EU28" s="226">
        <f t="shared" si="44"/>
        <v>20.04795</v>
      </c>
      <c r="EV28" s="312">
        <v>1679</v>
      </c>
      <c r="EW28" s="286">
        <f>EQ28*Wirtschaftlichkeit!$U$5/Wirtschaftlichkeit!$U$7</f>
        <v>9.6211917236960556</v>
      </c>
      <c r="EX28" s="284">
        <f t="shared" si="45"/>
        <v>696.36417423394641</v>
      </c>
      <c r="EZ28" s="222">
        <v>1679</v>
      </c>
      <c r="FA28" s="225">
        <f>IF($C28&gt;=Wirtschaftlichkeit!$V$8,Wirtschaftlichkeit!$V$8,IF(AND($C28&lt;=Wirtschaftlichkeit!$V$8,$C28&gt;=Wirtschaftlichkeit!$V$8*Eingabemaske!$B$18),$C28,"0"))</f>
        <v>20.04795</v>
      </c>
      <c r="FB28" s="222">
        <v>1679</v>
      </c>
      <c r="FC28" s="224">
        <f t="shared" si="46"/>
        <v>1451.0337750000001</v>
      </c>
      <c r="FD28" s="222">
        <v>1679</v>
      </c>
      <c r="FE28" s="226">
        <f t="shared" si="47"/>
        <v>20.04795</v>
      </c>
      <c r="FF28" s="312">
        <v>1679</v>
      </c>
      <c r="FG28" s="286">
        <f>FA28*Wirtschaftlichkeit!$V$5/Wirtschaftlichkeit!$V$7</f>
        <v>9.7166480491341449</v>
      </c>
      <c r="FH28" s="284">
        <f t="shared" si="48"/>
        <v>703.27312763058092</v>
      </c>
      <c r="FJ28" s="222">
        <v>1679</v>
      </c>
      <c r="FK28" s="225">
        <f>IF($C28&gt;=Wirtschaftlichkeit!$W$8,Wirtschaftlichkeit!$W$8,IF(AND($C28&lt;=Wirtschaftlichkeit!$W$8,$C28&gt;=Wirtschaftlichkeit!$W$8*Eingabemaske!$B$18),$C28,"0"))</f>
        <v>20.04795</v>
      </c>
      <c r="FL28" s="222">
        <v>1679</v>
      </c>
      <c r="FM28" s="224">
        <f t="shared" si="49"/>
        <v>1451.0337750000001</v>
      </c>
      <c r="FN28" s="222">
        <v>1679</v>
      </c>
      <c r="FO28" s="226">
        <f t="shared" si="50"/>
        <v>20.04795</v>
      </c>
      <c r="FP28" s="312">
        <v>1679</v>
      </c>
      <c r="FQ28" s="286">
        <f>FK28*Wirtschaftlichkeit!$W$5/Wirtschaftlichkeit!$W$7</f>
        <v>9.8074630532793652</v>
      </c>
      <c r="FR28" s="284">
        <f t="shared" si="51"/>
        <v>709.84615072229246</v>
      </c>
      <c r="FT28" s="222">
        <v>1679</v>
      </c>
      <c r="FU28" s="225">
        <f>IF($C28&gt;=Wirtschaftlichkeit!$X$8,Wirtschaftlichkeit!$X$8,IF(AND($C28&lt;=Wirtschaftlichkeit!$X$8,$C28&gt;=Wirtschaftlichkeit!$X$8*Eingabemaske!$B$18),$C28,"0"))</f>
        <v>20.04795</v>
      </c>
      <c r="FV28" s="222">
        <v>1679</v>
      </c>
      <c r="FW28" s="224">
        <f t="shared" si="52"/>
        <v>1451.0337750000001</v>
      </c>
      <c r="FX28" s="222">
        <v>1679</v>
      </c>
      <c r="FY28" s="226">
        <f t="shared" si="53"/>
        <v>20.04795</v>
      </c>
      <c r="FZ28" s="312">
        <v>1679</v>
      </c>
      <c r="GA28" s="286">
        <f>FU28*Wirtschaftlichkeit!$X$5/Wirtschaftlichkeit!$X$7</f>
        <v>9.8941213089412514</v>
      </c>
      <c r="GB28" s="284">
        <f t="shared" si="54"/>
        <v>716.11831599844209</v>
      </c>
      <c r="GD28" s="222">
        <v>1679</v>
      </c>
      <c r="GE28" s="225">
        <f>IF($C28&gt;=Wirtschaftlichkeit!$Y$8,Wirtschaftlichkeit!$Y$8,IF(AND($C28&lt;=Wirtschaftlichkeit!$Y$8,$C28&gt;=Wirtschaftlichkeit!$Y$8*Eingabemaske!$B$18),$C28,"0"))</f>
        <v>20.04795</v>
      </c>
      <c r="GF28" s="222">
        <v>1679</v>
      </c>
      <c r="GG28" s="224">
        <f t="shared" si="55"/>
        <v>1451.0337750000001</v>
      </c>
      <c r="GH28" s="222">
        <v>1679</v>
      </c>
      <c r="GI28" s="226">
        <f t="shared" si="56"/>
        <v>20.04795</v>
      </c>
      <c r="GJ28" s="312">
        <v>1679</v>
      </c>
      <c r="GK28" s="286">
        <f>GE28*Wirtschaftlichkeit!$Y$5/Wirtschaftlichkeit!$Y$7</f>
        <v>9.9770330368839915</v>
      </c>
      <c r="GL28" s="284">
        <f t="shared" si="57"/>
        <v>722.11931448399935</v>
      </c>
      <c r="GN28" s="222">
        <v>1679</v>
      </c>
      <c r="GO28" s="225">
        <f>IF($C28&gt;=Wirtschaftlichkeit!$Z$8,Wirtschaftlichkeit!$Z$8,IF(AND($C28&lt;=Wirtschaftlichkeit!$Z$8,$C28&gt;=Wirtschaftlichkeit!$Z$8*Eingabemaske!$B$18),$C28,"0"))</f>
        <v>20.04795</v>
      </c>
      <c r="GP28" s="222">
        <v>1679</v>
      </c>
      <c r="GQ28" s="224">
        <f t="shared" si="58"/>
        <v>731.75017500000001</v>
      </c>
      <c r="GR28" s="222">
        <v>1679</v>
      </c>
      <c r="GS28" s="226">
        <f t="shared" si="59"/>
        <v>20.04795</v>
      </c>
      <c r="GT28" s="312">
        <v>1679</v>
      </c>
      <c r="GU28" s="286">
        <f>GO28*Wirtschaftlichkeit!$Z$5/Wirtschaftlichkeit!$Z$7</f>
        <v>10.056548775987142</v>
      </c>
      <c r="GV28" s="284">
        <f t="shared" si="60"/>
        <v>367.06403032353069</v>
      </c>
      <c r="GW28" s="266"/>
      <c r="GX28" s="258">
        <v>1679</v>
      </c>
      <c r="GY28" s="270">
        <f>IF(Berechnung_Diagramme!$C$28=Berechnungen_Lastgang!$F$2,Berechnungen_Lastgang!G28,IF(Berechnung_Diagramme!$C$28=Berechnungen_Lastgang!$P$2,Berechnungen_Lastgang!Q28,IF(Berechnung_Diagramme!$C$28=Berechnungen_Lastgang!$Z$2,Berechnungen_Lastgang!AA28,IF(Berechnung_Diagramme!$C$28=Berechnungen_Lastgang!$AJ$2,Berechnungen_Lastgang!AK28,IF(Berechnung_Diagramme!$C$28=Berechnungen_Lastgang!$AT$2,Berechnungen_Lastgang!AU28,IF(Berechnung_Diagramme!$C$28=Berechnungen_Lastgang!$BD$2,Berechnungen_Lastgang!BE28,IF(Berechnung_Diagramme!$C$28=Berechnungen_Lastgang!$BN$2,Berechnungen_Lastgang!BO28,IF(Berechnung_Diagramme!$C$28=Berechnungen_Lastgang!$BX$2,Berechnungen_Lastgang!BY28,IF(Berechnung_Diagramme!$C$28=Berechnungen_Lastgang!$CH$2,Berechnungen_Lastgang!CI28,IF(Berechnung_Diagramme!$C$28=Berechnungen_Lastgang!$CR$2,Berechnungen_Lastgang!CS28,IF(Berechnung_Diagramme!$C$28=Berechnungen_Lastgang!$DB$2,Berechnungen_Lastgang!DC28,IF(Berechnung_Diagramme!$C$28=Berechnungen_Lastgang!$DL$2,Berechnungen_Lastgang!DM28,IF(Berechnung_Diagramme!$C$28=Berechnungen_Lastgang!$DV$2,Berechnungen_Lastgang!DW28,IF(Berechnung_Diagramme!$C$28=Berechnungen_Lastgang!$EF$2,Berechnungen_Lastgang!EG28,IF(Berechnung_Diagramme!$C$28=Berechnungen_Lastgang!$EP$2,Berechnungen_Lastgang!EQ28,IF(Berechnung_Diagramme!$C$28=Berechnungen_Lastgang!$EZ$2,Berechnungen_Lastgang!FA28,IF(Berechnung_Diagramme!$C$28=Berechnungen_Lastgang!$FJ$2,Berechnungen_Lastgang!FK28,IF(Berechnung_Diagramme!$C$28=Berechnungen_Lastgang!$FT$2,Berechnungen_Lastgang!FU28,IF(Berechnung_Diagramme!$C$28=Berechnungen_Lastgang!$GD$2,Berechnungen_Lastgang!GE28,IF(Berechnung_Diagramme!$C$28=Berechnungen_Lastgang!$GN$2,Berechnungen_Lastgang!GO28,""))))))))))))))))))))</f>
        <v>20.04795</v>
      </c>
    </row>
    <row r="29" spans="2:207" ht="14.45" x14ac:dyDescent="0.3">
      <c r="B29" s="64">
        <v>1752</v>
      </c>
      <c r="C29" s="67">
        <f>C28+((C30-C28)/(B30-B28))*(B29-B28)</f>
        <v>19.706400000000002</v>
      </c>
      <c r="D29" s="66">
        <f t="shared" si="0"/>
        <v>1426.1006250000003</v>
      </c>
      <c r="F29" s="64">
        <v>1752</v>
      </c>
      <c r="G29" s="225">
        <f>IF($C29&gt;=Wirtschaftlichkeit!$G$8,Wirtschaftlichkeit!$G$8,IF(AND($C29&lt;=Wirtschaftlichkeit!$G$8,$C29&gt;=Wirtschaftlichkeit!$G$8*Eingabemaske!$B$18),$C29,"0"))</f>
        <v>2.8333333333333335</v>
      </c>
      <c r="H29" s="64">
        <v>1752</v>
      </c>
      <c r="I29" s="66">
        <f t="shared" si="1"/>
        <v>206.83333333333334</v>
      </c>
      <c r="J29" s="64">
        <v>1752</v>
      </c>
      <c r="K29" s="71">
        <f t="shared" si="2"/>
        <v>2.8333333333333335</v>
      </c>
      <c r="L29" s="312">
        <v>1752</v>
      </c>
      <c r="M29" s="286">
        <f>G29*Wirtschaftlichkeit!$G$5/Wirtschaftlichkeit!$G$7</f>
        <v>1</v>
      </c>
      <c r="N29" s="284">
        <f t="shared" si="3"/>
        <v>73</v>
      </c>
      <c r="P29" s="222">
        <v>1752</v>
      </c>
      <c r="Q29" s="225">
        <f>IF($C29&gt;=Wirtschaftlichkeit!$H$8,Wirtschaftlichkeit!$H$8,IF(AND($C29&lt;=Wirtschaftlichkeit!$H$8,$C29&gt;=Wirtschaftlichkeit!$H$8*Eingabemaske!$B$18),$C29,"0"))</f>
        <v>5.5876288659793811</v>
      </c>
      <c r="R29" s="222">
        <v>1752</v>
      </c>
      <c r="S29" s="224">
        <f t="shared" si="4"/>
        <v>407.89690721649481</v>
      </c>
      <c r="T29" s="222">
        <v>1752</v>
      </c>
      <c r="U29" s="226">
        <f t="shared" si="5"/>
        <v>5.5876288659793811</v>
      </c>
      <c r="V29" s="312">
        <v>1752</v>
      </c>
      <c r="W29" s="286">
        <f>Q29*Wirtschaftlichkeit!$H$5/Wirtschaftlichkeit!$H$7</f>
        <v>2</v>
      </c>
      <c r="X29" s="284">
        <f t="shared" si="6"/>
        <v>146</v>
      </c>
      <c r="Z29" s="222">
        <v>1752</v>
      </c>
      <c r="AA29" s="225">
        <f>IF($C29&gt;=Wirtschaftlichkeit!$I$8,Wirtschaftlichkeit!$I$8,IF(AND($C29&lt;=Wirtschaftlichkeit!$I$8,$C29&gt;=Wirtschaftlichkeit!$I$8*Eingabemaske!$B$18),$C29,"0"))</f>
        <v>8.2471643149712612</v>
      </c>
      <c r="AB29" s="222">
        <v>1752</v>
      </c>
      <c r="AC29" s="224">
        <f t="shared" si="7"/>
        <v>602.04299499290209</v>
      </c>
      <c r="AD29" s="222">
        <v>1752</v>
      </c>
      <c r="AE29" s="226">
        <f t="shared" si="8"/>
        <v>8.2471643149712612</v>
      </c>
      <c r="AF29" s="312">
        <v>1752</v>
      </c>
      <c r="AG29" s="286">
        <f>AA29*Wirtschaftlichkeit!$I$5/Wirtschaftlichkeit!$I$7</f>
        <v>3.0000000000000004</v>
      </c>
      <c r="AH29" s="284">
        <f t="shared" si="9"/>
        <v>219.00000000000003</v>
      </c>
      <c r="AJ29" s="222">
        <v>1752</v>
      </c>
      <c r="AK29" s="225">
        <f>IF($C29&gt;=Wirtschaftlichkeit!$J$8,Wirtschaftlichkeit!$J$8,IF(AND($C29&lt;=Wirtschaftlichkeit!$J$8,$C29&gt;=Wirtschaftlichkeit!$J$8*Eingabemaske!$B$18),$C29,"0"))</f>
        <v>10.537455322965799</v>
      </c>
      <c r="AL29" s="222">
        <v>1752</v>
      </c>
      <c r="AM29" s="224">
        <f t="shared" si="10"/>
        <v>769.23423857650334</v>
      </c>
      <c r="AN29" s="222">
        <v>1752</v>
      </c>
      <c r="AO29" s="226">
        <f t="shared" si="11"/>
        <v>10.537455322965799</v>
      </c>
      <c r="AP29" s="312">
        <v>1752</v>
      </c>
      <c r="AQ29" s="286">
        <f>AK29*Wirtschaftlichkeit!$J$5/Wirtschaftlichkeit!$J$7</f>
        <v>4</v>
      </c>
      <c r="AR29" s="284">
        <f t="shared" si="12"/>
        <v>292</v>
      </c>
      <c r="AT29" s="222">
        <v>1752</v>
      </c>
      <c r="AU29" s="225">
        <f>IF($C29&gt;=Wirtschaftlichkeit!$K$8,Wirtschaftlichkeit!$K$8,IF(AND($C29&lt;=Wirtschaftlichkeit!$K$8,$C29&gt;=Wirtschaftlichkeit!$K$8*Eingabemaske!$B$18),$C29,"0"))</f>
        <v>12.739122166763016</v>
      </c>
      <c r="AV29" s="222">
        <v>1752</v>
      </c>
      <c r="AW29" s="224">
        <f t="shared" si="13"/>
        <v>929.95591817370018</v>
      </c>
      <c r="AX29" s="222">
        <v>1752</v>
      </c>
      <c r="AY29" s="226">
        <f t="shared" si="14"/>
        <v>12.739122166763016</v>
      </c>
      <c r="AZ29" s="312">
        <v>1752</v>
      </c>
      <c r="BA29" s="286">
        <f>AU29*Wirtschaftlichkeit!$K$5/Wirtschaftlichkeit!$K$7</f>
        <v>5</v>
      </c>
      <c r="BB29" s="284">
        <f t="shared" si="15"/>
        <v>365</v>
      </c>
      <c r="BD29" s="222">
        <v>1752</v>
      </c>
      <c r="BE29" s="225">
        <f>IF($C29&gt;=Wirtschaftlichkeit!$L$8,Wirtschaftlichkeit!$L$8,IF(AND($C29&lt;=Wirtschaftlichkeit!$L$8,$C29&gt;=Wirtschaftlichkeit!$L$8*Eingabemaske!$B$18),$C29,"0"))</f>
        <v>14.87189090675227</v>
      </c>
      <c r="BF29" s="222">
        <v>1752</v>
      </c>
      <c r="BG29" s="224">
        <f t="shared" si="16"/>
        <v>1085.6480361929157</v>
      </c>
      <c r="BH29" s="222">
        <v>1752</v>
      </c>
      <c r="BI29" s="226">
        <f t="shared" si="17"/>
        <v>14.87189090675227</v>
      </c>
      <c r="BJ29" s="312">
        <v>1752</v>
      </c>
      <c r="BK29" s="286">
        <f>BE29*Wirtschaftlichkeit!$L$5/Wirtschaftlichkeit!$L$7</f>
        <v>6</v>
      </c>
      <c r="BL29" s="284">
        <f t="shared" si="18"/>
        <v>438</v>
      </c>
      <c r="BN29" s="222">
        <v>1752</v>
      </c>
      <c r="BO29" s="225">
        <f>IF($C29&gt;=Wirtschaftlichkeit!$M$8,Wirtschaftlichkeit!$M$8,IF(AND($C29&lt;=Wirtschaftlichkeit!$M$8,$C29&gt;=Wirtschaftlichkeit!$M$8*Eingabemaske!$B$18),$C29,"0"))</f>
        <v>16.948500863015312</v>
      </c>
      <c r="BP29" s="222">
        <v>1752</v>
      </c>
      <c r="BQ29" s="224">
        <f t="shared" si="19"/>
        <v>1237.2405630001178</v>
      </c>
      <c r="BR29" s="222">
        <v>1752</v>
      </c>
      <c r="BS29" s="226">
        <f t="shared" si="20"/>
        <v>16.948500863015312</v>
      </c>
      <c r="BT29" s="312">
        <v>1752</v>
      </c>
      <c r="BU29" s="286">
        <f>BO29*Wirtschaftlichkeit!$M$5/Wirtschaftlichkeit!$M$7</f>
        <v>7</v>
      </c>
      <c r="BV29" s="284">
        <f t="shared" si="21"/>
        <v>511</v>
      </c>
      <c r="BX29" s="222">
        <v>1752</v>
      </c>
      <c r="BY29" s="225">
        <f>IF($C29&gt;=Wirtschaftlichkeit!$N$8,Wirtschaftlichkeit!$N$8,IF(AND($C29&lt;=Wirtschaftlichkeit!$N$8,$C29&gt;=Wirtschaftlichkeit!$N$8*Eingabemaske!$B$18),$C29,"0"))</f>
        <v>18.977838419132468</v>
      </c>
      <c r="BZ29" s="222">
        <v>1752</v>
      </c>
      <c r="CA29" s="224">
        <f t="shared" si="22"/>
        <v>1385.3822045966701</v>
      </c>
      <c r="CB29" s="222">
        <v>1752</v>
      </c>
      <c r="CC29" s="226">
        <f t="shared" si="23"/>
        <v>18.977838419132468</v>
      </c>
      <c r="CD29" s="312">
        <v>1752</v>
      </c>
      <c r="CE29" s="286">
        <f>BY29*Wirtschaftlichkeit!$N$5/Wirtschaftlichkeit!$N$7</f>
        <v>8</v>
      </c>
      <c r="CF29" s="284">
        <f t="shared" si="24"/>
        <v>584</v>
      </c>
      <c r="CH29" s="222">
        <v>1752</v>
      </c>
      <c r="CI29" s="225">
        <f>IF($C29&gt;=Wirtschaftlichkeit!$O$8,Wirtschaftlichkeit!$O$8,IF(AND($C29&lt;=Wirtschaftlichkeit!$O$8,$C29&gt;=Wirtschaftlichkeit!$O$8*Eingabemaske!$B$18),$C29,"0"))</f>
        <v>19.706400000000002</v>
      </c>
      <c r="CJ29" s="222">
        <v>1752</v>
      </c>
      <c r="CK29" s="224">
        <f t="shared" si="25"/>
        <v>1426.1006250000003</v>
      </c>
      <c r="CL29" s="222">
        <v>1752</v>
      </c>
      <c r="CM29" s="226">
        <f t="shared" si="26"/>
        <v>19.706400000000002</v>
      </c>
      <c r="CN29" s="312">
        <v>1752</v>
      </c>
      <c r="CO29" s="286">
        <f>CI29*Wirtschaftlichkeit!$O$5/Wirtschaftlichkeit!$O$7</f>
        <v>8.4591171632612454</v>
      </c>
      <c r="CP29" s="284">
        <f t="shared" si="27"/>
        <v>612.16418389330818</v>
      </c>
      <c r="CR29" s="222">
        <v>1752</v>
      </c>
      <c r="CS29" s="225">
        <f>IF($C29&gt;=Wirtschaftlichkeit!$P$8,Wirtschaftlichkeit!$P$8,IF(AND($C29&lt;=Wirtschaftlichkeit!$P$8,$C29&gt;=Wirtschaftlichkeit!$P$8*Eingabemaske!$B$18),$C29,"0"))</f>
        <v>19.706400000000002</v>
      </c>
      <c r="CT29" s="222">
        <v>1752</v>
      </c>
      <c r="CU29" s="224">
        <f t="shared" si="28"/>
        <v>1426.1006250000003</v>
      </c>
      <c r="CV29" s="222">
        <v>1752</v>
      </c>
      <c r="CW29" s="226">
        <f t="shared" si="29"/>
        <v>19.706400000000002</v>
      </c>
      <c r="CX29" s="312">
        <v>1752</v>
      </c>
      <c r="CY29" s="286">
        <f>CS29*Wirtschaftlichkeit!$P$5/Wirtschaftlichkeit!$P$7</f>
        <v>8.5981601368379685</v>
      </c>
      <c r="CZ29" s="284">
        <f t="shared" si="30"/>
        <v>622.22636021773189</v>
      </c>
      <c r="DB29" s="222">
        <v>1752</v>
      </c>
      <c r="DC29" s="225">
        <f>IF($C29&gt;=Wirtschaftlichkeit!$Q$8,Wirtschaftlichkeit!$Q$8,IF(AND($C29&lt;=Wirtschaftlichkeit!$Q$8,$C29&gt;=Wirtschaftlichkeit!$Q$8*Eingabemaske!$B$18),$C29,"0"))</f>
        <v>19.706400000000002</v>
      </c>
      <c r="DD29" s="222">
        <v>1752</v>
      </c>
      <c r="DE29" s="224">
        <f t="shared" si="31"/>
        <v>1426.1006250000003</v>
      </c>
      <c r="DF29" s="222">
        <v>1752</v>
      </c>
      <c r="DG29" s="226">
        <f t="shared" si="32"/>
        <v>19.706400000000002</v>
      </c>
      <c r="DH29" s="312">
        <v>1752</v>
      </c>
      <c r="DI29" s="286">
        <f>DC29*Wirtschaftlichkeit!$Q$5/Wirtschaftlichkeit!$Q$7</f>
        <v>9.0229573457702834</v>
      </c>
      <c r="DJ29" s="284">
        <f t="shared" si="33"/>
        <v>652.96782315143003</v>
      </c>
      <c r="DL29" s="222">
        <v>1752</v>
      </c>
      <c r="DM29" s="225">
        <f>IF($C29&gt;=Wirtschaftlichkeit!$R$8,Wirtschaftlichkeit!$R$8,IF(AND($C29&lt;=Wirtschaftlichkeit!$R$8,$C29&gt;=Wirtschaftlichkeit!$R$8*Eingabemaske!$B$18),$C29,"0"))</f>
        <v>19.706400000000002</v>
      </c>
      <c r="DN29" s="222">
        <v>1752</v>
      </c>
      <c r="DO29" s="224">
        <f t="shared" si="34"/>
        <v>1426.1006250000003</v>
      </c>
      <c r="DP29" s="222">
        <v>1752</v>
      </c>
      <c r="DQ29" s="226">
        <f t="shared" si="35"/>
        <v>19.706400000000002</v>
      </c>
      <c r="DR29" s="312">
        <v>1752</v>
      </c>
      <c r="DS29" s="286">
        <f>DM29*Wirtschaftlichkeit!$R$5/Wirtschaftlichkeit!$R$7</f>
        <v>9.1421012847737426</v>
      </c>
      <c r="DT29" s="284">
        <f t="shared" si="36"/>
        <v>661.58995839063141</v>
      </c>
      <c r="DV29" s="222">
        <v>1752</v>
      </c>
      <c r="DW29" s="225">
        <f>IF($C29&gt;=Wirtschaftlichkeit!$S$8,Wirtschaftlichkeit!$S$8,IF(AND($C29&lt;=Wirtschaftlichkeit!$S$8,$C29&gt;=Wirtschaftlichkeit!$S$8*Eingabemaske!$B$18),$C29,"0"))</f>
        <v>19.706400000000002</v>
      </c>
      <c r="DX29" s="222">
        <v>1752</v>
      </c>
      <c r="DY29" s="224">
        <f t="shared" si="37"/>
        <v>1426.1006250000003</v>
      </c>
      <c r="DZ29" s="222">
        <v>1752</v>
      </c>
      <c r="EA29" s="226">
        <f t="shared" si="38"/>
        <v>19.706400000000002</v>
      </c>
      <c r="EB29" s="312">
        <v>1752</v>
      </c>
      <c r="EC29" s="286">
        <f>DW29*Wirtschaftlichkeit!$S$5/Wirtschaftlichkeit!$S$7</f>
        <v>9.2535391561715112</v>
      </c>
      <c r="ED29" s="284">
        <f t="shared" si="39"/>
        <v>669.65442567278467</v>
      </c>
      <c r="EF29" s="222">
        <v>1752</v>
      </c>
      <c r="EG29" s="225">
        <f>IF($C29&gt;=Wirtschaftlichkeit!$T$8,Wirtschaftlichkeit!$T$8,IF(AND($C29&lt;=Wirtschaftlichkeit!$T$8,$C29&gt;=Wirtschaftlichkeit!$T$8*Eingabemaske!$B$18),$C29,"0"))</f>
        <v>19.706400000000002</v>
      </c>
      <c r="EH29" s="222">
        <v>1752</v>
      </c>
      <c r="EI29" s="224">
        <f t="shared" si="40"/>
        <v>1426.1006250000003</v>
      </c>
      <c r="EJ29" s="222">
        <v>1752</v>
      </c>
      <c r="EK29" s="226">
        <f t="shared" si="41"/>
        <v>19.706400000000002</v>
      </c>
      <c r="EL29" s="312">
        <v>1752</v>
      </c>
      <c r="EM29" s="286">
        <f>EG29*Wirtschaftlichkeit!$T$5/Wirtschaftlichkeit!$T$7</f>
        <v>9.3583178788902703</v>
      </c>
      <c r="EN29" s="284">
        <f t="shared" si="42"/>
        <v>677.23698778234939</v>
      </c>
      <c r="EP29" s="222">
        <v>1752</v>
      </c>
      <c r="EQ29" s="225">
        <f>IF($C29&gt;=Wirtschaftlichkeit!$U$8,Wirtschaftlichkeit!$U$8,IF(AND($C29&lt;=Wirtschaftlichkeit!$U$8,$C29&gt;=Wirtschaftlichkeit!$U$8*Eingabemaske!$B$18),$C29,"0"))</f>
        <v>19.706400000000002</v>
      </c>
      <c r="ER29" s="222">
        <v>1752</v>
      </c>
      <c r="ES29" s="224">
        <f t="shared" si="43"/>
        <v>1426.1006250000003</v>
      </c>
      <c r="ET29" s="222">
        <v>1752</v>
      </c>
      <c r="EU29" s="226">
        <f t="shared" si="44"/>
        <v>19.706400000000002</v>
      </c>
      <c r="EV29" s="312">
        <v>1752</v>
      </c>
      <c r="EW29" s="286">
        <f>EQ29*Wirtschaftlichkeit!$U$5/Wirtschaftlichkeit!$U$7</f>
        <v>9.4572788032613797</v>
      </c>
      <c r="EX29" s="284">
        <f t="shared" si="45"/>
        <v>684.39853104221493</v>
      </c>
      <c r="EZ29" s="222">
        <v>1752</v>
      </c>
      <c r="FA29" s="225">
        <f>IF($C29&gt;=Wirtschaftlichkeit!$V$8,Wirtschaftlichkeit!$V$8,IF(AND($C29&lt;=Wirtschaftlichkeit!$V$8,$C29&gt;=Wirtschaftlichkeit!$V$8*Eingabemaske!$B$18),$C29,"0"))</f>
        <v>19.706400000000002</v>
      </c>
      <c r="FB29" s="222">
        <v>1752</v>
      </c>
      <c r="FC29" s="224">
        <f t="shared" si="46"/>
        <v>1426.1006250000003</v>
      </c>
      <c r="FD29" s="222">
        <v>1752</v>
      </c>
      <c r="FE29" s="226">
        <f t="shared" si="47"/>
        <v>19.706400000000002</v>
      </c>
      <c r="FF29" s="312">
        <v>1752</v>
      </c>
      <c r="FG29" s="286">
        <f>FA29*Wirtschaftlichkeit!$V$5/Wirtschaftlichkeit!$V$7</f>
        <v>9.5511088722516337</v>
      </c>
      <c r="FH29" s="284">
        <f t="shared" si="48"/>
        <v>691.18876771815746</v>
      </c>
      <c r="FJ29" s="222">
        <v>1752</v>
      </c>
      <c r="FK29" s="225">
        <f>IF($C29&gt;=Wirtschaftlichkeit!$W$8,Wirtschaftlichkeit!$W$8,IF(AND($C29&lt;=Wirtschaftlichkeit!$W$8,$C29&gt;=Wirtschaftlichkeit!$W$8*Eingabemaske!$B$18),$C29,"0"))</f>
        <v>19.706400000000002</v>
      </c>
      <c r="FL29" s="222">
        <v>1752</v>
      </c>
      <c r="FM29" s="224">
        <f t="shared" si="49"/>
        <v>1426.1006250000003</v>
      </c>
      <c r="FN29" s="222">
        <v>1752</v>
      </c>
      <c r="FO29" s="226">
        <f t="shared" si="50"/>
        <v>19.706400000000002</v>
      </c>
      <c r="FP29" s="312">
        <v>1752</v>
      </c>
      <c r="FQ29" s="286">
        <f>FK29*Wirtschaftlichkeit!$W$5/Wirtschaftlichkeit!$W$7</f>
        <v>9.6403766925368686</v>
      </c>
      <c r="FR29" s="284">
        <f t="shared" si="51"/>
        <v>697.64884638809019</v>
      </c>
      <c r="FT29" s="222">
        <v>1752</v>
      </c>
      <c r="FU29" s="225">
        <f>IF($C29&gt;=Wirtschaftlichkeit!$X$8,Wirtschaftlichkeit!$X$8,IF(AND($C29&lt;=Wirtschaftlichkeit!$X$8,$C29&gt;=Wirtschaftlichkeit!$X$8*Eingabemaske!$B$18),$C29,"0"))</f>
        <v>19.706400000000002</v>
      </c>
      <c r="FV29" s="222">
        <v>1752</v>
      </c>
      <c r="FW29" s="224">
        <f t="shared" si="52"/>
        <v>1426.1006250000003</v>
      </c>
      <c r="FX29" s="222">
        <v>1752</v>
      </c>
      <c r="FY29" s="226">
        <f t="shared" si="53"/>
        <v>19.706400000000002</v>
      </c>
      <c r="FZ29" s="312">
        <v>1752</v>
      </c>
      <c r="GA29" s="286">
        <f>FU29*Wirtschaftlichkeit!$X$5/Wirtschaftlichkeit!$X$7</f>
        <v>9.7255585814270233</v>
      </c>
      <c r="GB29" s="284">
        <f t="shared" si="54"/>
        <v>703.81323688990335</v>
      </c>
      <c r="GD29" s="222">
        <v>1752</v>
      </c>
      <c r="GE29" s="225">
        <f>IF($C29&gt;=Wirtschaftlichkeit!$Y$8,Wirtschaftlichkeit!$Y$8,IF(AND($C29&lt;=Wirtschaftlichkeit!$Y$8,$C29&gt;=Wirtschaftlichkeit!$Y$8*Eingabemaske!$B$18),$C29,"0"))</f>
        <v>19.706400000000002</v>
      </c>
      <c r="GF29" s="222">
        <v>1752</v>
      </c>
      <c r="GG29" s="224">
        <f t="shared" si="55"/>
        <v>1426.1006250000003</v>
      </c>
      <c r="GH29" s="222">
        <v>1752</v>
      </c>
      <c r="GI29" s="226">
        <f t="shared" si="56"/>
        <v>19.706400000000002</v>
      </c>
      <c r="GJ29" s="312">
        <v>1752</v>
      </c>
      <c r="GK29" s="286">
        <f>GE29*Wirtschaftlichkeit!$Y$5/Wirtschaftlichkeit!$Y$7</f>
        <v>9.8070577708968116</v>
      </c>
      <c r="GL29" s="284">
        <f t="shared" si="57"/>
        <v>709.71112006693511</v>
      </c>
      <c r="GN29" s="222">
        <v>1752</v>
      </c>
      <c r="GO29" s="225" t="str">
        <f>IF($C29&gt;=Wirtschaftlichkeit!$Z$8,Wirtschaftlichkeit!$Z$8,IF(AND($C29&lt;=Wirtschaftlichkeit!$Z$8,$C29&gt;=Wirtschaftlichkeit!$Z$8*Eingabemaske!$B$18),$C29,"0"))</f>
        <v>0</v>
      </c>
      <c r="GP29" s="222">
        <v>1752</v>
      </c>
      <c r="GQ29" s="224">
        <f t="shared" si="58"/>
        <v>0</v>
      </c>
      <c r="GR29" s="222">
        <v>1752</v>
      </c>
      <c r="GS29" s="226" t="str">
        <f t="shared" si="59"/>
        <v xml:space="preserve"> </v>
      </c>
      <c r="GT29" s="312">
        <v>1752</v>
      </c>
      <c r="GU29" s="286">
        <f>GO29*Wirtschaftlichkeit!$Z$5/Wirtschaftlichkeit!$Z$7</f>
        <v>0</v>
      </c>
      <c r="GV29" s="284">
        <f t="shared" si="60"/>
        <v>0</v>
      </c>
      <c r="GW29" s="266"/>
      <c r="GX29" s="258">
        <v>1752</v>
      </c>
      <c r="GY29" s="270">
        <f>IF(Berechnung_Diagramme!$C$28=Berechnungen_Lastgang!$F$2,Berechnungen_Lastgang!G29,IF(Berechnung_Diagramme!$C$28=Berechnungen_Lastgang!$P$2,Berechnungen_Lastgang!Q29,IF(Berechnung_Diagramme!$C$28=Berechnungen_Lastgang!$Z$2,Berechnungen_Lastgang!AA29,IF(Berechnung_Diagramme!$C$28=Berechnungen_Lastgang!$AJ$2,Berechnungen_Lastgang!AK29,IF(Berechnung_Diagramme!$C$28=Berechnungen_Lastgang!$AT$2,Berechnungen_Lastgang!AU29,IF(Berechnung_Diagramme!$C$28=Berechnungen_Lastgang!$BD$2,Berechnungen_Lastgang!BE29,IF(Berechnung_Diagramme!$C$28=Berechnungen_Lastgang!$BN$2,Berechnungen_Lastgang!BO29,IF(Berechnung_Diagramme!$C$28=Berechnungen_Lastgang!$BX$2,Berechnungen_Lastgang!BY29,IF(Berechnung_Diagramme!$C$28=Berechnungen_Lastgang!$CH$2,Berechnungen_Lastgang!CI29,IF(Berechnung_Diagramme!$C$28=Berechnungen_Lastgang!$CR$2,Berechnungen_Lastgang!CS29,IF(Berechnung_Diagramme!$C$28=Berechnungen_Lastgang!$DB$2,Berechnungen_Lastgang!DC29,IF(Berechnung_Diagramme!$C$28=Berechnungen_Lastgang!$DL$2,Berechnungen_Lastgang!DM29,IF(Berechnung_Diagramme!$C$28=Berechnungen_Lastgang!$DV$2,Berechnungen_Lastgang!DW29,IF(Berechnung_Diagramme!$C$28=Berechnungen_Lastgang!$EF$2,Berechnungen_Lastgang!EG29,IF(Berechnung_Diagramme!$C$28=Berechnungen_Lastgang!$EP$2,Berechnungen_Lastgang!EQ29,IF(Berechnung_Diagramme!$C$28=Berechnungen_Lastgang!$EZ$2,Berechnungen_Lastgang!FA29,IF(Berechnung_Diagramme!$C$28=Berechnungen_Lastgang!$FJ$2,Berechnungen_Lastgang!FK29,IF(Berechnung_Diagramme!$C$28=Berechnungen_Lastgang!$FT$2,Berechnungen_Lastgang!FU29,IF(Berechnung_Diagramme!$C$28=Berechnungen_Lastgang!$GD$2,Berechnungen_Lastgang!GE29,IF(Berechnung_Diagramme!$C$28=Berechnungen_Lastgang!$GN$2,Berechnungen_Lastgang!GO29,""))))))))))))))))))))</f>
        <v>19.706400000000002</v>
      </c>
    </row>
    <row r="30" spans="2:207" ht="14.45" x14ac:dyDescent="0.3">
      <c r="B30" s="64">
        <v>1825</v>
      </c>
      <c r="C30" s="67">
        <f>(C25+C35)/2</f>
        <v>19.364850000000001</v>
      </c>
      <c r="D30" s="66">
        <f t="shared" si="0"/>
        <v>1401.1674749999997</v>
      </c>
      <c r="F30" s="64">
        <v>1825</v>
      </c>
      <c r="G30" s="225">
        <f>IF($C30&gt;=Wirtschaftlichkeit!$G$8,Wirtschaftlichkeit!$G$8,IF(AND($C30&lt;=Wirtschaftlichkeit!$G$8,$C30&gt;=Wirtschaftlichkeit!$G$8*Eingabemaske!$B$18),$C30,"0"))</f>
        <v>2.8333333333333335</v>
      </c>
      <c r="H30" s="64">
        <v>1825</v>
      </c>
      <c r="I30" s="66">
        <f t="shared" si="1"/>
        <v>206.83333333333334</v>
      </c>
      <c r="J30" s="64">
        <v>1825</v>
      </c>
      <c r="K30" s="71">
        <f t="shared" si="2"/>
        <v>2.8333333333333335</v>
      </c>
      <c r="L30" s="312">
        <v>1825</v>
      </c>
      <c r="M30" s="286">
        <f>G30*Wirtschaftlichkeit!$G$5/Wirtschaftlichkeit!$G$7</f>
        <v>1</v>
      </c>
      <c r="N30" s="284">
        <f t="shared" si="3"/>
        <v>73</v>
      </c>
      <c r="P30" s="222">
        <v>1825</v>
      </c>
      <c r="Q30" s="225">
        <f>IF($C30&gt;=Wirtschaftlichkeit!$H$8,Wirtschaftlichkeit!$H$8,IF(AND($C30&lt;=Wirtschaftlichkeit!$H$8,$C30&gt;=Wirtschaftlichkeit!$H$8*Eingabemaske!$B$18),$C30,"0"))</f>
        <v>5.5876288659793811</v>
      </c>
      <c r="R30" s="222">
        <v>1825</v>
      </c>
      <c r="S30" s="224">
        <f t="shared" si="4"/>
        <v>407.89690721649481</v>
      </c>
      <c r="T30" s="222">
        <v>1825</v>
      </c>
      <c r="U30" s="226">
        <f t="shared" si="5"/>
        <v>5.5876288659793811</v>
      </c>
      <c r="V30" s="312">
        <v>1825</v>
      </c>
      <c r="W30" s="286">
        <f>Q30*Wirtschaftlichkeit!$H$5/Wirtschaftlichkeit!$H$7</f>
        <v>2</v>
      </c>
      <c r="X30" s="284">
        <f t="shared" si="6"/>
        <v>146</v>
      </c>
      <c r="Z30" s="222">
        <v>1825</v>
      </c>
      <c r="AA30" s="225">
        <f>IF($C30&gt;=Wirtschaftlichkeit!$I$8,Wirtschaftlichkeit!$I$8,IF(AND($C30&lt;=Wirtschaftlichkeit!$I$8,$C30&gt;=Wirtschaftlichkeit!$I$8*Eingabemaske!$B$18),$C30,"0"))</f>
        <v>8.2471643149712612</v>
      </c>
      <c r="AB30" s="222">
        <v>1825</v>
      </c>
      <c r="AC30" s="224">
        <f t="shared" si="7"/>
        <v>602.04299499290209</v>
      </c>
      <c r="AD30" s="222">
        <v>1825</v>
      </c>
      <c r="AE30" s="226">
        <f t="shared" si="8"/>
        <v>8.2471643149712612</v>
      </c>
      <c r="AF30" s="312">
        <v>1825</v>
      </c>
      <c r="AG30" s="286">
        <f>AA30*Wirtschaftlichkeit!$I$5/Wirtschaftlichkeit!$I$7</f>
        <v>3.0000000000000004</v>
      </c>
      <c r="AH30" s="284">
        <f t="shared" si="9"/>
        <v>219.00000000000003</v>
      </c>
      <c r="AJ30" s="222">
        <v>1825</v>
      </c>
      <c r="AK30" s="225">
        <f>IF($C30&gt;=Wirtschaftlichkeit!$J$8,Wirtschaftlichkeit!$J$8,IF(AND($C30&lt;=Wirtschaftlichkeit!$J$8,$C30&gt;=Wirtschaftlichkeit!$J$8*Eingabemaske!$B$18),$C30,"0"))</f>
        <v>10.537455322965799</v>
      </c>
      <c r="AL30" s="222">
        <v>1825</v>
      </c>
      <c r="AM30" s="224">
        <f t="shared" si="10"/>
        <v>769.23423857650334</v>
      </c>
      <c r="AN30" s="222">
        <v>1825</v>
      </c>
      <c r="AO30" s="226">
        <f t="shared" si="11"/>
        <v>10.537455322965799</v>
      </c>
      <c r="AP30" s="312">
        <v>1825</v>
      </c>
      <c r="AQ30" s="286">
        <f>AK30*Wirtschaftlichkeit!$J$5/Wirtschaftlichkeit!$J$7</f>
        <v>4</v>
      </c>
      <c r="AR30" s="284">
        <f t="shared" si="12"/>
        <v>292</v>
      </c>
      <c r="AT30" s="222">
        <v>1825</v>
      </c>
      <c r="AU30" s="225">
        <f>IF($C30&gt;=Wirtschaftlichkeit!$K$8,Wirtschaftlichkeit!$K$8,IF(AND($C30&lt;=Wirtschaftlichkeit!$K$8,$C30&gt;=Wirtschaftlichkeit!$K$8*Eingabemaske!$B$18),$C30,"0"))</f>
        <v>12.739122166763016</v>
      </c>
      <c r="AV30" s="222">
        <v>1825</v>
      </c>
      <c r="AW30" s="224">
        <f t="shared" si="13"/>
        <v>929.95591817370018</v>
      </c>
      <c r="AX30" s="222">
        <v>1825</v>
      </c>
      <c r="AY30" s="226">
        <f t="shared" si="14"/>
        <v>12.739122166763016</v>
      </c>
      <c r="AZ30" s="312">
        <v>1825</v>
      </c>
      <c r="BA30" s="286">
        <f>AU30*Wirtschaftlichkeit!$K$5/Wirtschaftlichkeit!$K$7</f>
        <v>5</v>
      </c>
      <c r="BB30" s="284">
        <f t="shared" si="15"/>
        <v>365</v>
      </c>
      <c r="BD30" s="222">
        <v>1825</v>
      </c>
      <c r="BE30" s="225">
        <f>IF($C30&gt;=Wirtschaftlichkeit!$L$8,Wirtschaftlichkeit!$L$8,IF(AND($C30&lt;=Wirtschaftlichkeit!$L$8,$C30&gt;=Wirtschaftlichkeit!$L$8*Eingabemaske!$B$18),$C30,"0"))</f>
        <v>14.87189090675227</v>
      </c>
      <c r="BF30" s="222">
        <v>1825</v>
      </c>
      <c r="BG30" s="224">
        <f t="shared" si="16"/>
        <v>1085.6480361929157</v>
      </c>
      <c r="BH30" s="222">
        <v>1825</v>
      </c>
      <c r="BI30" s="226">
        <f t="shared" si="17"/>
        <v>14.87189090675227</v>
      </c>
      <c r="BJ30" s="312">
        <v>1825</v>
      </c>
      <c r="BK30" s="286">
        <f>BE30*Wirtschaftlichkeit!$L$5/Wirtschaftlichkeit!$L$7</f>
        <v>6</v>
      </c>
      <c r="BL30" s="284">
        <f t="shared" si="18"/>
        <v>438</v>
      </c>
      <c r="BN30" s="222">
        <v>1825</v>
      </c>
      <c r="BO30" s="225">
        <f>IF($C30&gt;=Wirtschaftlichkeit!$M$8,Wirtschaftlichkeit!$M$8,IF(AND($C30&lt;=Wirtschaftlichkeit!$M$8,$C30&gt;=Wirtschaftlichkeit!$M$8*Eingabemaske!$B$18),$C30,"0"))</f>
        <v>16.948500863015312</v>
      </c>
      <c r="BP30" s="222">
        <v>1825</v>
      </c>
      <c r="BQ30" s="224">
        <f t="shared" si="19"/>
        <v>1237.2405630001178</v>
      </c>
      <c r="BR30" s="222">
        <v>1825</v>
      </c>
      <c r="BS30" s="226">
        <f t="shared" si="20"/>
        <v>16.948500863015312</v>
      </c>
      <c r="BT30" s="312">
        <v>1825</v>
      </c>
      <c r="BU30" s="286">
        <f>BO30*Wirtschaftlichkeit!$M$5/Wirtschaftlichkeit!$M$7</f>
        <v>7</v>
      </c>
      <c r="BV30" s="284">
        <f t="shared" si="21"/>
        <v>511</v>
      </c>
      <c r="BX30" s="222">
        <v>1825</v>
      </c>
      <c r="BY30" s="225">
        <f>IF($C30&gt;=Wirtschaftlichkeit!$N$8,Wirtschaftlichkeit!$N$8,IF(AND($C30&lt;=Wirtschaftlichkeit!$N$8,$C30&gt;=Wirtschaftlichkeit!$N$8*Eingabemaske!$B$18),$C30,"0"))</f>
        <v>18.977838419132468</v>
      </c>
      <c r="BZ30" s="222">
        <v>1825</v>
      </c>
      <c r="CA30" s="224">
        <f t="shared" si="22"/>
        <v>1385.3822045966701</v>
      </c>
      <c r="CB30" s="222">
        <v>1825</v>
      </c>
      <c r="CC30" s="226">
        <f t="shared" si="23"/>
        <v>18.977838419132468</v>
      </c>
      <c r="CD30" s="312">
        <v>1825</v>
      </c>
      <c r="CE30" s="286">
        <f>BY30*Wirtschaftlichkeit!$N$5/Wirtschaftlichkeit!$N$7</f>
        <v>8</v>
      </c>
      <c r="CF30" s="284">
        <f t="shared" si="24"/>
        <v>584</v>
      </c>
      <c r="CH30" s="222">
        <v>1825</v>
      </c>
      <c r="CI30" s="225">
        <f>IF($C30&gt;=Wirtschaftlichkeit!$O$8,Wirtschaftlichkeit!$O$8,IF(AND($C30&lt;=Wirtschaftlichkeit!$O$8,$C30&gt;=Wirtschaftlichkeit!$O$8*Eingabemaske!$B$18),$C30,"0"))</f>
        <v>19.364850000000001</v>
      </c>
      <c r="CJ30" s="222">
        <v>1825</v>
      </c>
      <c r="CK30" s="224">
        <f t="shared" si="25"/>
        <v>1401.1674749999997</v>
      </c>
      <c r="CL30" s="222">
        <v>1825</v>
      </c>
      <c r="CM30" s="226">
        <f t="shared" si="26"/>
        <v>19.364850000000001</v>
      </c>
      <c r="CN30" s="312">
        <v>1825</v>
      </c>
      <c r="CO30" s="286">
        <f>CI30*Wirtschaftlichkeit!$O$5/Wirtschaftlichkeit!$O$7</f>
        <v>8.3125043132677465</v>
      </c>
      <c r="CP30" s="284">
        <f t="shared" si="27"/>
        <v>601.46144584378283</v>
      </c>
      <c r="CR30" s="222">
        <v>1825</v>
      </c>
      <c r="CS30" s="225">
        <f>IF($C30&gt;=Wirtschaftlichkeit!$P$8,Wirtschaftlichkeit!$P$8,IF(AND($C30&lt;=Wirtschaftlichkeit!$P$8,$C30&gt;=Wirtschaftlichkeit!$P$8*Eingabemaske!$B$18),$C30,"0"))</f>
        <v>19.364850000000001</v>
      </c>
      <c r="CT30" s="222">
        <v>1825</v>
      </c>
      <c r="CU30" s="224">
        <f t="shared" si="28"/>
        <v>1401.1674749999997</v>
      </c>
      <c r="CV30" s="222">
        <v>1825</v>
      </c>
      <c r="CW30" s="226">
        <f t="shared" si="29"/>
        <v>19.364850000000001</v>
      </c>
      <c r="CX30" s="312">
        <v>1825</v>
      </c>
      <c r="CY30" s="286">
        <f>CS30*Wirtschaftlichkeit!$P$5/Wirtschaftlichkeit!$P$7</f>
        <v>8.4491374033738644</v>
      </c>
      <c r="CZ30" s="284">
        <f t="shared" si="30"/>
        <v>611.34770067485226</v>
      </c>
      <c r="DB30" s="222">
        <v>1825</v>
      </c>
      <c r="DC30" s="225">
        <f>IF($C30&gt;=Wirtschaftlichkeit!$Q$8,Wirtschaftlichkeit!$Q$8,IF(AND($C30&lt;=Wirtschaftlichkeit!$Q$8,$C30&gt;=Wirtschaftlichkeit!$Q$8*Eingabemaske!$B$18),$C30,"0"))</f>
        <v>19.364850000000001</v>
      </c>
      <c r="DD30" s="222">
        <v>1825</v>
      </c>
      <c r="DE30" s="224">
        <f t="shared" si="31"/>
        <v>1401.1674749999997</v>
      </c>
      <c r="DF30" s="222">
        <v>1825</v>
      </c>
      <c r="DG30" s="226">
        <f t="shared" si="32"/>
        <v>19.364850000000001</v>
      </c>
      <c r="DH30" s="312">
        <v>1825</v>
      </c>
      <c r="DI30" s="286">
        <f>DC30*Wirtschaftlichkeit!$Q$5/Wirtschaftlichkeit!$Q$7</f>
        <v>8.8665720556387591</v>
      </c>
      <c r="DJ30" s="284">
        <f t="shared" si="33"/>
        <v>641.55169697182873</v>
      </c>
      <c r="DL30" s="222">
        <v>1825</v>
      </c>
      <c r="DM30" s="225">
        <f>IF($C30&gt;=Wirtschaftlichkeit!$R$8,Wirtschaftlichkeit!$R$8,IF(AND($C30&lt;=Wirtschaftlichkeit!$R$8,$C30&gt;=Wirtschaftlichkeit!$R$8*Eingabemaske!$B$18),$C30,"0"))</f>
        <v>19.364850000000001</v>
      </c>
      <c r="DN30" s="222">
        <v>1825</v>
      </c>
      <c r="DO30" s="224">
        <f t="shared" si="34"/>
        <v>1401.1674749999997</v>
      </c>
      <c r="DP30" s="222">
        <v>1825</v>
      </c>
      <c r="DQ30" s="226">
        <f t="shared" si="35"/>
        <v>19.364850000000001</v>
      </c>
      <c r="DR30" s="312">
        <v>1825</v>
      </c>
      <c r="DS30" s="286">
        <f>DM30*Wirtschaftlichkeit!$R$5/Wirtschaftlichkeit!$R$7</f>
        <v>8.983650999901089</v>
      </c>
      <c r="DT30" s="284">
        <f t="shared" si="36"/>
        <v>650.02308759492769</v>
      </c>
      <c r="DV30" s="222">
        <v>1825</v>
      </c>
      <c r="DW30" s="225">
        <f>IF($C30&gt;=Wirtschaftlichkeit!$S$8,Wirtschaftlichkeit!$S$8,IF(AND($C30&lt;=Wirtschaftlichkeit!$S$8,$C30&gt;=Wirtschaftlichkeit!$S$8*Eingabemaske!$B$18),$C30,"0"))</f>
        <v>19.364850000000001</v>
      </c>
      <c r="DX30" s="222">
        <v>1825</v>
      </c>
      <c r="DY30" s="224">
        <f t="shared" si="37"/>
        <v>1401.1674749999997</v>
      </c>
      <c r="DZ30" s="222">
        <v>1825</v>
      </c>
      <c r="EA30" s="226">
        <f t="shared" si="38"/>
        <v>19.364850000000001</v>
      </c>
      <c r="EB30" s="312">
        <v>1825</v>
      </c>
      <c r="EC30" s="286">
        <f>DW30*Wirtschaftlichkeit!$S$5/Wirtschaftlichkeit!$S$7</f>
        <v>9.0931574376034128</v>
      </c>
      <c r="ED30" s="284">
        <f t="shared" si="39"/>
        <v>657.9465602173135</v>
      </c>
      <c r="EF30" s="222">
        <v>1825</v>
      </c>
      <c r="EG30" s="225">
        <f>IF($C30&gt;=Wirtschaftlichkeit!$T$8,Wirtschaftlichkeit!$T$8,IF(AND($C30&lt;=Wirtschaftlichkeit!$T$8,$C30&gt;=Wirtschaftlichkeit!$T$8*Eingabemaske!$B$18),$C30,"0"))</f>
        <v>19.364850000000001</v>
      </c>
      <c r="EH30" s="222">
        <v>1825</v>
      </c>
      <c r="EI30" s="224">
        <f t="shared" si="40"/>
        <v>1401.1674749999997</v>
      </c>
      <c r="EJ30" s="222">
        <v>1825</v>
      </c>
      <c r="EK30" s="226">
        <f t="shared" si="41"/>
        <v>19.364850000000001</v>
      </c>
      <c r="EL30" s="312">
        <v>1825</v>
      </c>
      <c r="EM30" s="286">
        <f>EG30*Wirtschaftlichkeit!$T$5/Wirtschaftlichkeit!$T$7</f>
        <v>9.1961201425439576</v>
      </c>
      <c r="EN30" s="284">
        <f t="shared" si="42"/>
        <v>665.3965530290684</v>
      </c>
      <c r="EP30" s="222">
        <v>1825</v>
      </c>
      <c r="EQ30" s="225">
        <f>IF($C30&gt;=Wirtschaftlichkeit!$U$8,Wirtschaftlichkeit!$U$8,IF(AND($C30&lt;=Wirtschaftlichkeit!$U$8,$C30&gt;=Wirtschaftlichkeit!$U$8*Eingabemaske!$B$18),$C30,"0"))</f>
        <v>19.364850000000001</v>
      </c>
      <c r="ER30" s="222">
        <v>1825</v>
      </c>
      <c r="ES30" s="224">
        <f t="shared" si="43"/>
        <v>1401.1674749999997</v>
      </c>
      <c r="ET30" s="222">
        <v>1825</v>
      </c>
      <c r="EU30" s="226">
        <f t="shared" si="44"/>
        <v>19.364850000000001</v>
      </c>
      <c r="EV30" s="312">
        <v>1825</v>
      </c>
      <c r="EW30" s="286">
        <f>EQ30*Wirtschaftlichkeit!$U$5/Wirtschaftlichkeit!$U$7</f>
        <v>9.2933658828267021</v>
      </c>
      <c r="EX30" s="284">
        <f t="shared" si="45"/>
        <v>672.43288785048344</v>
      </c>
      <c r="EZ30" s="222">
        <v>1825</v>
      </c>
      <c r="FA30" s="225">
        <f>IF($C30&gt;=Wirtschaftlichkeit!$V$8,Wirtschaftlichkeit!$V$8,IF(AND($C30&lt;=Wirtschaftlichkeit!$V$8,$C30&gt;=Wirtschaftlichkeit!$V$8*Eingabemaske!$B$18),$C30,"0"))</f>
        <v>19.364850000000001</v>
      </c>
      <c r="FB30" s="222">
        <v>1825</v>
      </c>
      <c r="FC30" s="224">
        <f t="shared" si="46"/>
        <v>1401.1674749999997</v>
      </c>
      <c r="FD30" s="222">
        <v>1825</v>
      </c>
      <c r="FE30" s="226">
        <f t="shared" si="47"/>
        <v>19.364850000000001</v>
      </c>
      <c r="FF30" s="312">
        <v>1825</v>
      </c>
      <c r="FG30" s="286">
        <f>FA30*Wirtschaftlichkeit!$V$5/Wirtschaftlichkeit!$V$7</f>
        <v>9.385569695369119</v>
      </c>
      <c r="FH30" s="284">
        <f t="shared" si="48"/>
        <v>679.1044078057339</v>
      </c>
      <c r="FJ30" s="222">
        <v>1825</v>
      </c>
      <c r="FK30" s="225">
        <f>IF($C30&gt;=Wirtschaftlichkeit!$W$8,Wirtschaftlichkeit!$W$8,IF(AND($C30&lt;=Wirtschaftlichkeit!$W$8,$C30&gt;=Wirtschaftlichkeit!$W$8*Eingabemaske!$B$18),$C30,"0"))</f>
        <v>19.364850000000001</v>
      </c>
      <c r="FL30" s="222">
        <v>1825</v>
      </c>
      <c r="FM30" s="224">
        <f t="shared" si="49"/>
        <v>1401.1674749999997</v>
      </c>
      <c r="FN30" s="222">
        <v>1825</v>
      </c>
      <c r="FO30" s="226">
        <f t="shared" si="50"/>
        <v>19.364850000000001</v>
      </c>
      <c r="FP30" s="312">
        <v>1825</v>
      </c>
      <c r="FQ30" s="286">
        <f>FK30*Wirtschaftlichkeit!$W$5/Wirtschaftlichkeit!$W$7</f>
        <v>9.4732903317943702</v>
      </c>
      <c r="FR30" s="284">
        <f t="shared" si="51"/>
        <v>685.45154205388769</v>
      </c>
      <c r="FT30" s="222">
        <v>1825</v>
      </c>
      <c r="FU30" s="225">
        <f>IF($C30&gt;=Wirtschaftlichkeit!$X$8,Wirtschaftlichkeit!$X$8,IF(AND($C30&lt;=Wirtschaftlichkeit!$X$8,$C30&gt;=Wirtschaftlichkeit!$X$8*Eingabemaske!$B$18),$C30,"0"))</f>
        <v>19.364850000000001</v>
      </c>
      <c r="FV30" s="222">
        <v>1825</v>
      </c>
      <c r="FW30" s="224">
        <f t="shared" si="52"/>
        <v>1401.1674749999997</v>
      </c>
      <c r="FX30" s="222">
        <v>1825</v>
      </c>
      <c r="FY30" s="226">
        <f t="shared" si="53"/>
        <v>19.364850000000001</v>
      </c>
      <c r="FZ30" s="312">
        <v>1825</v>
      </c>
      <c r="GA30" s="286">
        <f>FU30*Wirtschaftlichkeit!$X$5/Wirtschaftlichkeit!$X$7</f>
        <v>9.5569958539127935</v>
      </c>
      <c r="GB30" s="284">
        <f t="shared" si="54"/>
        <v>691.5081577813645</v>
      </c>
      <c r="GD30" s="222">
        <v>1825</v>
      </c>
      <c r="GE30" s="225">
        <f>IF($C30&gt;=Wirtschaftlichkeit!$Y$8,Wirtschaftlichkeit!$Y$8,IF(AND($C30&lt;=Wirtschaftlichkeit!$Y$8,$C30&gt;=Wirtschaftlichkeit!$Y$8*Eingabemaske!$B$18),$C30,"0"))</f>
        <v>19.364850000000001</v>
      </c>
      <c r="GF30" s="222">
        <v>1825</v>
      </c>
      <c r="GG30" s="224">
        <f t="shared" si="55"/>
        <v>706.81702500000006</v>
      </c>
      <c r="GH30" s="222">
        <v>1825</v>
      </c>
      <c r="GI30" s="226">
        <f t="shared" si="56"/>
        <v>19.364850000000001</v>
      </c>
      <c r="GJ30" s="312">
        <v>1825</v>
      </c>
      <c r="GK30" s="286">
        <f>GE30*Wirtschaftlichkeit!$Y$5/Wirtschaftlichkeit!$Y$7</f>
        <v>9.6370825049096283</v>
      </c>
      <c r="GL30" s="284">
        <f t="shared" si="57"/>
        <v>351.75351142920141</v>
      </c>
      <c r="GN30" s="222">
        <v>1825</v>
      </c>
      <c r="GO30" s="225" t="str">
        <f>IF($C30&gt;=Wirtschaftlichkeit!$Z$8,Wirtschaftlichkeit!$Z$8,IF(AND($C30&lt;=Wirtschaftlichkeit!$Z$8,$C30&gt;=Wirtschaftlichkeit!$Z$8*Eingabemaske!$B$18),$C30,"0"))</f>
        <v>0</v>
      </c>
      <c r="GP30" s="222">
        <v>1825</v>
      </c>
      <c r="GQ30" s="224">
        <f t="shared" si="58"/>
        <v>0</v>
      </c>
      <c r="GR30" s="222">
        <v>1825</v>
      </c>
      <c r="GS30" s="226" t="str">
        <f t="shared" si="59"/>
        <v xml:space="preserve"> </v>
      </c>
      <c r="GT30" s="312">
        <v>1825</v>
      </c>
      <c r="GU30" s="286">
        <f>GO30*Wirtschaftlichkeit!$Z$5/Wirtschaftlichkeit!$Z$7</f>
        <v>0</v>
      </c>
      <c r="GV30" s="284">
        <f t="shared" si="60"/>
        <v>0</v>
      </c>
      <c r="GW30" s="266"/>
      <c r="GX30" s="258">
        <v>1825</v>
      </c>
      <c r="GY30" s="270">
        <f>IF(Berechnung_Diagramme!$C$28=Berechnungen_Lastgang!$F$2,Berechnungen_Lastgang!G30,IF(Berechnung_Diagramme!$C$28=Berechnungen_Lastgang!$P$2,Berechnungen_Lastgang!Q30,IF(Berechnung_Diagramme!$C$28=Berechnungen_Lastgang!$Z$2,Berechnungen_Lastgang!AA30,IF(Berechnung_Diagramme!$C$28=Berechnungen_Lastgang!$AJ$2,Berechnungen_Lastgang!AK30,IF(Berechnung_Diagramme!$C$28=Berechnungen_Lastgang!$AT$2,Berechnungen_Lastgang!AU30,IF(Berechnung_Diagramme!$C$28=Berechnungen_Lastgang!$BD$2,Berechnungen_Lastgang!BE30,IF(Berechnung_Diagramme!$C$28=Berechnungen_Lastgang!$BN$2,Berechnungen_Lastgang!BO30,IF(Berechnung_Diagramme!$C$28=Berechnungen_Lastgang!$BX$2,Berechnungen_Lastgang!BY30,IF(Berechnung_Diagramme!$C$28=Berechnungen_Lastgang!$CH$2,Berechnungen_Lastgang!CI30,IF(Berechnung_Diagramme!$C$28=Berechnungen_Lastgang!$CR$2,Berechnungen_Lastgang!CS30,IF(Berechnung_Diagramme!$C$28=Berechnungen_Lastgang!$DB$2,Berechnungen_Lastgang!DC30,IF(Berechnung_Diagramme!$C$28=Berechnungen_Lastgang!$DL$2,Berechnungen_Lastgang!DM30,IF(Berechnung_Diagramme!$C$28=Berechnungen_Lastgang!$DV$2,Berechnungen_Lastgang!DW30,IF(Berechnung_Diagramme!$C$28=Berechnungen_Lastgang!$EF$2,Berechnungen_Lastgang!EG30,IF(Berechnung_Diagramme!$C$28=Berechnungen_Lastgang!$EP$2,Berechnungen_Lastgang!EQ30,IF(Berechnung_Diagramme!$C$28=Berechnungen_Lastgang!$EZ$2,Berechnungen_Lastgang!FA30,IF(Berechnung_Diagramme!$C$28=Berechnungen_Lastgang!$FJ$2,Berechnungen_Lastgang!FK30,IF(Berechnung_Diagramme!$C$28=Berechnungen_Lastgang!$FT$2,Berechnungen_Lastgang!FU30,IF(Berechnung_Diagramme!$C$28=Berechnungen_Lastgang!$GD$2,Berechnungen_Lastgang!GE30,IF(Berechnung_Diagramme!$C$28=Berechnungen_Lastgang!$GN$2,Berechnungen_Lastgang!GO30,""))))))))))))))))))))</f>
        <v>19.364850000000001</v>
      </c>
    </row>
    <row r="31" spans="2:207" ht="14.45" x14ac:dyDescent="0.3">
      <c r="B31" s="64">
        <v>1898</v>
      </c>
      <c r="C31" s="67">
        <f>C30+((C35-C30)/(B35-B30))*(B31-B30)</f>
        <v>19.023299999999999</v>
      </c>
      <c r="D31" s="66">
        <f t="shared" si="0"/>
        <v>1376.2343249999999</v>
      </c>
      <c r="F31" s="64">
        <v>1898</v>
      </c>
      <c r="G31" s="225">
        <f>IF($C31&gt;=Wirtschaftlichkeit!$G$8,Wirtschaftlichkeit!$G$8,IF(AND($C31&lt;=Wirtschaftlichkeit!$G$8,$C31&gt;=Wirtschaftlichkeit!$G$8*Eingabemaske!$B$18),$C31,"0"))</f>
        <v>2.8333333333333335</v>
      </c>
      <c r="H31" s="64">
        <v>1898</v>
      </c>
      <c r="I31" s="66">
        <f t="shared" si="1"/>
        <v>206.83333333333334</v>
      </c>
      <c r="J31" s="64">
        <v>1898</v>
      </c>
      <c r="K31" s="71">
        <f t="shared" si="2"/>
        <v>2.8333333333333335</v>
      </c>
      <c r="L31" s="312">
        <v>1898</v>
      </c>
      <c r="M31" s="286">
        <f>G31*Wirtschaftlichkeit!$G$5/Wirtschaftlichkeit!$G$7</f>
        <v>1</v>
      </c>
      <c r="N31" s="284">
        <f t="shared" si="3"/>
        <v>73</v>
      </c>
      <c r="P31" s="222">
        <v>1898</v>
      </c>
      <c r="Q31" s="225">
        <f>IF($C31&gt;=Wirtschaftlichkeit!$H$8,Wirtschaftlichkeit!$H$8,IF(AND($C31&lt;=Wirtschaftlichkeit!$H$8,$C31&gt;=Wirtschaftlichkeit!$H$8*Eingabemaske!$B$18),$C31,"0"))</f>
        <v>5.5876288659793811</v>
      </c>
      <c r="R31" s="222">
        <v>1898</v>
      </c>
      <c r="S31" s="224">
        <f t="shared" si="4"/>
        <v>407.89690721649481</v>
      </c>
      <c r="T31" s="222">
        <v>1898</v>
      </c>
      <c r="U31" s="226">
        <f t="shared" si="5"/>
        <v>5.5876288659793811</v>
      </c>
      <c r="V31" s="312">
        <v>1898</v>
      </c>
      <c r="W31" s="286">
        <f>Q31*Wirtschaftlichkeit!$H$5/Wirtschaftlichkeit!$H$7</f>
        <v>2</v>
      </c>
      <c r="X31" s="284">
        <f t="shared" si="6"/>
        <v>146</v>
      </c>
      <c r="Z31" s="222">
        <v>1898</v>
      </c>
      <c r="AA31" s="225">
        <f>IF($C31&gt;=Wirtschaftlichkeit!$I$8,Wirtschaftlichkeit!$I$8,IF(AND($C31&lt;=Wirtschaftlichkeit!$I$8,$C31&gt;=Wirtschaftlichkeit!$I$8*Eingabemaske!$B$18),$C31,"0"))</f>
        <v>8.2471643149712612</v>
      </c>
      <c r="AB31" s="222">
        <v>1898</v>
      </c>
      <c r="AC31" s="224">
        <f t="shared" si="7"/>
        <v>602.04299499290209</v>
      </c>
      <c r="AD31" s="222">
        <v>1898</v>
      </c>
      <c r="AE31" s="226">
        <f t="shared" si="8"/>
        <v>8.2471643149712612</v>
      </c>
      <c r="AF31" s="312">
        <v>1898</v>
      </c>
      <c r="AG31" s="286">
        <f>AA31*Wirtschaftlichkeit!$I$5/Wirtschaftlichkeit!$I$7</f>
        <v>3.0000000000000004</v>
      </c>
      <c r="AH31" s="284">
        <f t="shared" si="9"/>
        <v>219.00000000000003</v>
      </c>
      <c r="AJ31" s="222">
        <v>1898</v>
      </c>
      <c r="AK31" s="225">
        <f>IF($C31&gt;=Wirtschaftlichkeit!$J$8,Wirtschaftlichkeit!$J$8,IF(AND($C31&lt;=Wirtschaftlichkeit!$J$8,$C31&gt;=Wirtschaftlichkeit!$J$8*Eingabemaske!$B$18),$C31,"0"))</f>
        <v>10.537455322965799</v>
      </c>
      <c r="AL31" s="222">
        <v>1898</v>
      </c>
      <c r="AM31" s="224">
        <f t="shared" si="10"/>
        <v>769.23423857650334</v>
      </c>
      <c r="AN31" s="222">
        <v>1898</v>
      </c>
      <c r="AO31" s="226">
        <f t="shared" si="11"/>
        <v>10.537455322965799</v>
      </c>
      <c r="AP31" s="312">
        <v>1898</v>
      </c>
      <c r="AQ31" s="286">
        <f>AK31*Wirtschaftlichkeit!$J$5/Wirtschaftlichkeit!$J$7</f>
        <v>4</v>
      </c>
      <c r="AR31" s="284">
        <f t="shared" si="12"/>
        <v>292</v>
      </c>
      <c r="AT31" s="222">
        <v>1898</v>
      </c>
      <c r="AU31" s="225">
        <f>IF($C31&gt;=Wirtschaftlichkeit!$K$8,Wirtschaftlichkeit!$K$8,IF(AND($C31&lt;=Wirtschaftlichkeit!$K$8,$C31&gt;=Wirtschaftlichkeit!$K$8*Eingabemaske!$B$18),$C31,"0"))</f>
        <v>12.739122166763016</v>
      </c>
      <c r="AV31" s="222">
        <v>1898</v>
      </c>
      <c r="AW31" s="224">
        <f t="shared" si="13"/>
        <v>929.95591817370018</v>
      </c>
      <c r="AX31" s="222">
        <v>1898</v>
      </c>
      <c r="AY31" s="226">
        <f t="shared" si="14"/>
        <v>12.739122166763016</v>
      </c>
      <c r="AZ31" s="312">
        <v>1898</v>
      </c>
      <c r="BA31" s="286">
        <f>AU31*Wirtschaftlichkeit!$K$5/Wirtschaftlichkeit!$K$7</f>
        <v>5</v>
      </c>
      <c r="BB31" s="284">
        <f t="shared" si="15"/>
        <v>365</v>
      </c>
      <c r="BD31" s="222">
        <v>1898</v>
      </c>
      <c r="BE31" s="225">
        <f>IF($C31&gt;=Wirtschaftlichkeit!$L$8,Wirtschaftlichkeit!$L$8,IF(AND($C31&lt;=Wirtschaftlichkeit!$L$8,$C31&gt;=Wirtschaftlichkeit!$L$8*Eingabemaske!$B$18),$C31,"0"))</f>
        <v>14.87189090675227</v>
      </c>
      <c r="BF31" s="222">
        <v>1898</v>
      </c>
      <c r="BG31" s="224">
        <f t="shared" si="16"/>
        <v>1085.6480361929157</v>
      </c>
      <c r="BH31" s="222">
        <v>1898</v>
      </c>
      <c r="BI31" s="226">
        <f t="shared" si="17"/>
        <v>14.87189090675227</v>
      </c>
      <c r="BJ31" s="312">
        <v>1898</v>
      </c>
      <c r="BK31" s="286">
        <f>BE31*Wirtschaftlichkeit!$L$5/Wirtschaftlichkeit!$L$7</f>
        <v>6</v>
      </c>
      <c r="BL31" s="284">
        <f t="shared" si="18"/>
        <v>438</v>
      </c>
      <c r="BN31" s="222">
        <v>1898</v>
      </c>
      <c r="BO31" s="225">
        <f>IF($C31&gt;=Wirtschaftlichkeit!$M$8,Wirtschaftlichkeit!$M$8,IF(AND($C31&lt;=Wirtschaftlichkeit!$M$8,$C31&gt;=Wirtschaftlichkeit!$M$8*Eingabemaske!$B$18),$C31,"0"))</f>
        <v>16.948500863015312</v>
      </c>
      <c r="BP31" s="222">
        <v>1898</v>
      </c>
      <c r="BQ31" s="224">
        <f t="shared" si="19"/>
        <v>1237.2405630001178</v>
      </c>
      <c r="BR31" s="222">
        <v>1898</v>
      </c>
      <c r="BS31" s="226">
        <f t="shared" si="20"/>
        <v>16.948500863015312</v>
      </c>
      <c r="BT31" s="312">
        <v>1898</v>
      </c>
      <c r="BU31" s="286">
        <f>BO31*Wirtschaftlichkeit!$M$5/Wirtschaftlichkeit!$M$7</f>
        <v>7</v>
      </c>
      <c r="BV31" s="284">
        <f t="shared" si="21"/>
        <v>511</v>
      </c>
      <c r="BX31" s="222">
        <v>1898</v>
      </c>
      <c r="BY31" s="225">
        <f>IF($C31&gt;=Wirtschaftlichkeit!$N$8,Wirtschaftlichkeit!$N$8,IF(AND($C31&lt;=Wirtschaftlichkeit!$N$8,$C31&gt;=Wirtschaftlichkeit!$N$8*Eingabemaske!$B$18),$C31,"0"))</f>
        <v>18.977838419132468</v>
      </c>
      <c r="BZ31" s="222">
        <v>1898</v>
      </c>
      <c r="CA31" s="224">
        <f t="shared" si="22"/>
        <v>1374.5749772983352</v>
      </c>
      <c r="CB31" s="222">
        <v>1898</v>
      </c>
      <c r="CC31" s="226">
        <f t="shared" si="23"/>
        <v>18.977838419132468</v>
      </c>
      <c r="CD31" s="312">
        <v>1898</v>
      </c>
      <c r="CE31" s="286">
        <f>BY31*Wirtschaftlichkeit!$N$5/Wirtschaftlichkeit!$N$7</f>
        <v>8</v>
      </c>
      <c r="CF31" s="284">
        <f t="shared" si="24"/>
        <v>579.44427471257643</v>
      </c>
      <c r="CH31" s="222">
        <v>1898</v>
      </c>
      <c r="CI31" s="225">
        <f>IF($C31&gt;=Wirtschaftlichkeit!$O$8,Wirtschaftlichkeit!$O$8,IF(AND($C31&lt;=Wirtschaftlichkeit!$O$8,$C31&gt;=Wirtschaftlichkeit!$O$8*Eingabemaske!$B$18),$C31,"0"))</f>
        <v>19.023299999999999</v>
      </c>
      <c r="CJ31" s="222">
        <v>1898</v>
      </c>
      <c r="CK31" s="224">
        <f t="shared" si="25"/>
        <v>1376.2343249999999</v>
      </c>
      <c r="CL31" s="222">
        <v>1898</v>
      </c>
      <c r="CM31" s="226">
        <f t="shared" si="26"/>
        <v>19.023299999999999</v>
      </c>
      <c r="CN31" s="312">
        <v>1898</v>
      </c>
      <c r="CO31" s="286">
        <f>CI31*Wirtschaftlichkeit!$O$5/Wirtschaftlichkeit!$O$7</f>
        <v>8.1658914632742476</v>
      </c>
      <c r="CP31" s="284">
        <f t="shared" si="27"/>
        <v>590.75870779425736</v>
      </c>
      <c r="CR31" s="222">
        <v>1898</v>
      </c>
      <c r="CS31" s="225">
        <f>IF($C31&gt;=Wirtschaftlichkeit!$P$8,Wirtschaftlichkeit!$P$8,IF(AND($C31&lt;=Wirtschaftlichkeit!$P$8,$C31&gt;=Wirtschaftlichkeit!$P$8*Eingabemaske!$B$18),$C31,"0"))</f>
        <v>19.023299999999999</v>
      </c>
      <c r="CT31" s="222">
        <v>1898</v>
      </c>
      <c r="CU31" s="224">
        <f t="shared" si="28"/>
        <v>1376.2343249999999</v>
      </c>
      <c r="CV31" s="222">
        <v>1898</v>
      </c>
      <c r="CW31" s="226">
        <f t="shared" si="29"/>
        <v>19.023299999999999</v>
      </c>
      <c r="CX31" s="312">
        <v>1898</v>
      </c>
      <c r="CY31" s="286">
        <f>CS31*Wirtschaftlichkeit!$P$5/Wirtschaftlichkeit!$P$7</f>
        <v>8.3001146699097603</v>
      </c>
      <c r="CZ31" s="284">
        <f t="shared" si="30"/>
        <v>600.46904113197286</v>
      </c>
      <c r="DB31" s="222">
        <v>1898</v>
      </c>
      <c r="DC31" s="225">
        <f>IF($C31&gt;=Wirtschaftlichkeit!$Q$8,Wirtschaftlichkeit!$Q$8,IF(AND($C31&lt;=Wirtschaftlichkeit!$Q$8,$C31&gt;=Wirtschaftlichkeit!$Q$8*Eingabemaske!$B$18),$C31,"0"))</f>
        <v>19.023299999999999</v>
      </c>
      <c r="DD31" s="222">
        <v>1898</v>
      </c>
      <c r="DE31" s="224">
        <f t="shared" si="31"/>
        <v>1376.2343249999999</v>
      </c>
      <c r="DF31" s="222">
        <v>1898</v>
      </c>
      <c r="DG31" s="226">
        <f t="shared" si="32"/>
        <v>19.023299999999999</v>
      </c>
      <c r="DH31" s="312">
        <v>1898</v>
      </c>
      <c r="DI31" s="286">
        <f>DC31*Wirtschaftlichkeit!$Q$5/Wirtschaftlichkeit!$Q$7</f>
        <v>8.7101867655072365</v>
      </c>
      <c r="DJ31" s="284">
        <f t="shared" si="33"/>
        <v>630.13557079222778</v>
      </c>
      <c r="DL31" s="222">
        <v>1898</v>
      </c>
      <c r="DM31" s="225">
        <f>IF($C31&gt;=Wirtschaftlichkeit!$R$8,Wirtschaftlichkeit!$R$8,IF(AND($C31&lt;=Wirtschaftlichkeit!$R$8,$C31&gt;=Wirtschaftlichkeit!$R$8*Eingabemaske!$B$18),$C31,"0"))</f>
        <v>19.023299999999999</v>
      </c>
      <c r="DN31" s="222">
        <v>1898</v>
      </c>
      <c r="DO31" s="224">
        <f t="shared" si="34"/>
        <v>1376.2343249999999</v>
      </c>
      <c r="DP31" s="222">
        <v>1898</v>
      </c>
      <c r="DQ31" s="226">
        <f t="shared" si="35"/>
        <v>19.023299999999999</v>
      </c>
      <c r="DR31" s="312">
        <v>1898</v>
      </c>
      <c r="DS31" s="286">
        <f>DM31*Wirtschaftlichkeit!$R$5/Wirtschaftlichkeit!$R$7</f>
        <v>8.8252007150284335</v>
      </c>
      <c r="DT31" s="284">
        <f t="shared" si="36"/>
        <v>638.45621679922374</v>
      </c>
      <c r="DV31" s="222">
        <v>1898</v>
      </c>
      <c r="DW31" s="225">
        <f>IF($C31&gt;=Wirtschaftlichkeit!$S$8,Wirtschaftlichkeit!$S$8,IF(AND($C31&lt;=Wirtschaftlichkeit!$S$8,$C31&gt;=Wirtschaftlichkeit!$S$8*Eingabemaske!$B$18),$C31,"0"))</f>
        <v>19.023299999999999</v>
      </c>
      <c r="DX31" s="222">
        <v>1898</v>
      </c>
      <c r="DY31" s="224">
        <f t="shared" si="37"/>
        <v>1376.2343249999999</v>
      </c>
      <c r="DZ31" s="222">
        <v>1898</v>
      </c>
      <c r="EA31" s="226">
        <f t="shared" si="38"/>
        <v>19.023299999999999</v>
      </c>
      <c r="EB31" s="312">
        <v>1898</v>
      </c>
      <c r="EC31" s="286">
        <f>DW31*Wirtschaftlichkeit!$S$5/Wirtschaftlichkeit!$S$7</f>
        <v>8.9327757190353125</v>
      </c>
      <c r="ED31" s="284">
        <f t="shared" si="39"/>
        <v>646.23869476184234</v>
      </c>
      <c r="EF31" s="222">
        <v>1898</v>
      </c>
      <c r="EG31" s="225">
        <f>IF($C31&gt;=Wirtschaftlichkeit!$T$8,Wirtschaftlichkeit!$T$8,IF(AND($C31&lt;=Wirtschaftlichkeit!$T$8,$C31&gt;=Wirtschaftlichkeit!$T$8*Eingabemaske!$B$18),$C31,"0"))</f>
        <v>19.023299999999999</v>
      </c>
      <c r="EH31" s="222">
        <v>1898</v>
      </c>
      <c r="EI31" s="224">
        <f t="shared" si="40"/>
        <v>1376.2343249999999</v>
      </c>
      <c r="EJ31" s="222">
        <v>1898</v>
      </c>
      <c r="EK31" s="226">
        <f t="shared" si="41"/>
        <v>19.023299999999999</v>
      </c>
      <c r="EL31" s="312">
        <v>1898</v>
      </c>
      <c r="EM31" s="286">
        <f>EG31*Wirtschaftlichkeit!$T$5/Wirtschaftlichkeit!$T$7</f>
        <v>9.0339224061976431</v>
      </c>
      <c r="EN31" s="284">
        <f t="shared" si="42"/>
        <v>653.55611827578764</v>
      </c>
      <c r="EP31" s="222">
        <v>1898</v>
      </c>
      <c r="EQ31" s="225">
        <f>IF($C31&gt;=Wirtschaftlichkeit!$U$8,Wirtschaftlichkeit!$U$8,IF(AND($C31&lt;=Wirtschaftlichkeit!$U$8,$C31&gt;=Wirtschaftlichkeit!$U$8*Eingabemaske!$B$18),$C31,"0"))</f>
        <v>19.023299999999999</v>
      </c>
      <c r="ER31" s="222">
        <v>1898</v>
      </c>
      <c r="ES31" s="224">
        <f t="shared" si="43"/>
        <v>1376.2343249999999</v>
      </c>
      <c r="ET31" s="222">
        <v>1898</v>
      </c>
      <c r="EU31" s="226">
        <f t="shared" si="44"/>
        <v>19.023299999999999</v>
      </c>
      <c r="EV31" s="312">
        <v>1898</v>
      </c>
      <c r="EW31" s="286">
        <f>EQ31*Wirtschaftlichkeit!$U$5/Wirtschaftlichkeit!$U$7</f>
        <v>9.1294529623920226</v>
      </c>
      <c r="EX31" s="284">
        <f t="shared" si="45"/>
        <v>660.46724465875195</v>
      </c>
      <c r="EZ31" s="222">
        <v>1898</v>
      </c>
      <c r="FA31" s="225">
        <f>IF($C31&gt;=Wirtschaftlichkeit!$V$8,Wirtschaftlichkeit!$V$8,IF(AND($C31&lt;=Wirtschaftlichkeit!$V$8,$C31&gt;=Wirtschaftlichkeit!$V$8*Eingabemaske!$B$18),$C31,"0"))</f>
        <v>19.023299999999999</v>
      </c>
      <c r="FB31" s="222">
        <v>1898</v>
      </c>
      <c r="FC31" s="224">
        <f t="shared" si="46"/>
        <v>1376.2343249999999</v>
      </c>
      <c r="FD31" s="222">
        <v>1898</v>
      </c>
      <c r="FE31" s="226">
        <f t="shared" si="47"/>
        <v>19.023299999999999</v>
      </c>
      <c r="FF31" s="312">
        <v>1898</v>
      </c>
      <c r="FG31" s="286">
        <f>FA31*Wirtschaftlichkeit!$V$5/Wirtschaftlichkeit!$V$7</f>
        <v>9.220030518486606</v>
      </c>
      <c r="FH31" s="284">
        <f t="shared" si="48"/>
        <v>667.02004789331056</v>
      </c>
      <c r="FJ31" s="222">
        <v>1898</v>
      </c>
      <c r="FK31" s="225">
        <f>IF($C31&gt;=Wirtschaftlichkeit!$W$8,Wirtschaftlichkeit!$W$8,IF(AND($C31&lt;=Wirtschaftlichkeit!$W$8,$C31&gt;=Wirtschaftlichkeit!$W$8*Eingabemaske!$B$18),$C31,"0"))</f>
        <v>19.023299999999999</v>
      </c>
      <c r="FL31" s="222">
        <v>1898</v>
      </c>
      <c r="FM31" s="224">
        <f t="shared" si="49"/>
        <v>1376.2343249999999</v>
      </c>
      <c r="FN31" s="222">
        <v>1898</v>
      </c>
      <c r="FO31" s="226">
        <f t="shared" si="50"/>
        <v>19.023299999999999</v>
      </c>
      <c r="FP31" s="312">
        <v>1898</v>
      </c>
      <c r="FQ31" s="286">
        <f>FK31*Wirtschaftlichkeit!$W$5/Wirtschaftlichkeit!$W$7</f>
        <v>9.30620397105187</v>
      </c>
      <c r="FR31" s="284">
        <f t="shared" si="51"/>
        <v>673.25423771968531</v>
      </c>
      <c r="FT31" s="222">
        <v>1898</v>
      </c>
      <c r="FU31" s="225">
        <f>IF($C31&gt;=Wirtschaftlichkeit!$X$8,Wirtschaftlichkeit!$X$8,IF(AND($C31&lt;=Wirtschaftlichkeit!$X$8,$C31&gt;=Wirtschaftlichkeit!$X$8*Eingabemaske!$B$18),$C31,"0"))</f>
        <v>19.023299999999999</v>
      </c>
      <c r="FV31" s="222">
        <v>1898</v>
      </c>
      <c r="FW31" s="224">
        <f t="shared" si="52"/>
        <v>1376.2343249999999</v>
      </c>
      <c r="FX31" s="222">
        <v>1898</v>
      </c>
      <c r="FY31" s="226">
        <f t="shared" si="53"/>
        <v>19.023299999999999</v>
      </c>
      <c r="FZ31" s="312">
        <v>1898</v>
      </c>
      <c r="GA31" s="286">
        <f>FU31*Wirtschaftlichkeit!$X$5/Wirtschaftlichkeit!$X$7</f>
        <v>9.3884331263985636</v>
      </c>
      <c r="GB31" s="284">
        <f t="shared" si="54"/>
        <v>679.20307867282577</v>
      </c>
      <c r="GD31" s="222">
        <v>1898</v>
      </c>
      <c r="GE31" s="225" t="str">
        <f>IF($C31&gt;=Wirtschaftlichkeit!$Y$8,Wirtschaftlichkeit!$Y$8,IF(AND($C31&lt;=Wirtschaftlichkeit!$Y$8,$C31&gt;=Wirtschaftlichkeit!$Y$8*Eingabemaske!$B$18),$C31,"0"))</f>
        <v>0</v>
      </c>
      <c r="GF31" s="222">
        <v>1898</v>
      </c>
      <c r="GG31" s="224">
        <f t="shared" si="55"/>
        <v>0</v>
      </c>
      <c r="GH31" s="222">
        <v>1898</v>
      </c>
      <c r="GI31" s="226" t="str">
        <f t="shared" si="56"/>
        <v xml:space="preserve"> </v>
      </c>
      <c r="GJ31" s="312">
        <v>1898</v>
      </c>
      <c r="GK31" s="286">
        <f>GE31*Wirtschaftlichkeit!$Y$5/Wirtschaftlichkeit!$Y$7</f>
        <v>0</v>
      </c>
      <c r="GL31" s="284">
        <f t="shared" si="57"/>
        <v>0</v>
      </c>
      <c r="GN31" s="222">
        <v>1898</v>
      </c>
      <c r="GO31" s="225" t="str">
        <f>IF($C31&gt;=Wirtschaftlichkeit!$Z$8,Wirtschaftlichkeit!$Z$8,IF(AND($C31&lt;=Wirtschaftlichkeit!$Z$8,$C31&gt;=Wirtschaftlichkeit!$Z$8*Eingabemaske!$B$18),$C31,"0"))</f>
        <v>0</v>
      </c>
      <c r="GP31" s="222">
        <v>1898</v>
      </c>
      <c r="GQ31" s="224">
        <f t="shared" si="58"/>
        <v>0</v>
      </c>
      <c r="GR31" s="222">
        <v>1898</v>
      </c>
      <c r="GS31" s="226" t="str">
        <f t="shared" si="59"/>
        <v xml:space="preserve"> </v>
      </c>
      <c r="GT31" s="312">
        <v>1898</v>
      </c>
      <c r="GU31" s="286">
        <f>GO31*Wirtschaftlichkeit!$Z$5/Wirtschaftlichkeit!$Z$7</f>
        <v>0</v>
      </c>
      <c r="GV31" s="284">
        <f t="shared" si="60"/>
        <v>0</v>
      </c>
      <c r="GW31" s="266"/>
      <c r="GX31" s="258">
        <v>1898</v>
      </c>
      <c r="GY31" s="270">
        <f>IF(Berechnung_Diagramme!$C$28=Berechnungen_Lastgang!$F$2,Berechnungen_Lastgang!G31,IF(Berechnung_Diagramme!$C$28=Berechnungen_Lastgang!$P$2,Berechnungen_Lastgang!Q31,IF(Berechnung_Diagramme!$C$28=Berechnungen_Lastgang!$Z$2,Berechnungen_Lastgang!AA31,IF(Berechnung_Diagramme!$C$28=Berechnungen_Lastgang!$AJ$2,Berechnungen_Lastgang!AK31,IF(Berechnung_Diagramme!$C$28=Berechnungen_Lastgang!$AT$2,Berechnungen_Lastgang!AU31,IF(Berechnung_Diagramme!$C$28=Berechnungen_Lastgang!$BD$2,Berechnungen_Lastgang!BE31,IF(Berechnung_Diagramme!$C$28=Berechnungen_Lastgang!$BN$2,Berechnungen_Lastgang!BO31,IF(Berechnung_Diagramme!$C$28=Berechnungen_Lastgang!$BX$2,Berechnungen_Lastgang!BY31,IF(Berechnung_Diagramme!$C$28=Berechnungen_Lastgang!$CH$2,Berechnungen_Lastgang!CI31,IF(Berechnung_Diagramme!$C$28=Berechnungen_Lastgang!$CR$2,Berechnungen_Lastgang!CS31,IF(Berechnung_Diagramme!$C$28=Berechnungen_Lastgang!$DB$2,Berechnungen_Lastgang!DC31,IF(Berechnung_Diagramme!$C$28=Berechnungen_Lastgang!$DL$2,Berechnungen_Lastgang!DM31,IF(Berechnung_Diagramme!$C$28=Berechnungen_Lastgang!$DV$2,Berechnungen_Lastgang!DW31,IF(Berechnung_Diagramme!$C$28=Berechnungen_Lastgang!$EF$2,Berechnungen_Lastgang!EG31,IF(Berechnung_Diagramme!$C$28=Berechnungen_Lastgang!$EP$2,Berechnungen_Lastgang!EQ31,IF(Berechnung_Diagramme!$C$28=Berechnungen_Lastgang!$EZ$2,Berechnungen_Lastgang!FA31,IF(Berechnung_Diagramme!$C$28=Berechnungen_Lastgang!$FJ$2,Berechnungen_Lastgang!FK31,IF(Berechnung_Diagramme!$C$28=Berechnungen_Lastgang!$FT$2,Berechnungen_Lastgang!FU31,IF(Berechnung_Diagramme!$C$28=Berechnungen_Lastgang!$GD$2,Berechnungen_Lastgang!GE31,IF(Berechnung_Diagramme!$C$28=Berechnungen_Lastgang!$GN$2,Berechnungen_Lastgang!GO31,""))))))))))))))))))))</f>
        <v>19.023299999999999</v>
      </c>
    </row>
    <row r="32" spans="2:207" ht="14.45" x14ac:dyDescent="0.3">
      <c r="B32" s="64">
        <v>1971</v>
      </c>
      <c r="C32" s="67">
        <f>C31+((C35-C31)/(B35-B31))*(B32-B31)</f>
        <v>18.681750000000001</v>
      </c>
      <c r="D32" s="66">
        <f t="shared" si="0"/>
        <v>1351.3011750000001</v>
      </c>
      <c r="F32" s="64">
        <v>1971</v>
      </c>
      <c r="G32" s="225">
        <f>IF($C32&gt;=Wirtschaftlichkeit!$G$8,Wirtschaftlichkeit!$G$8,IF(AND($C32&lt;=Wirtschaftlichkeit!$G$8,$C32&gt;=Wirtschaftlichkeit!$G$8*Eingabemaske!$B$18),$C32,"0"))</f>
        <v>2.8333333333333335</v>
      </c>
      <c r="H32" s="64">
        <v>1971</v>
      </c>
      <c r="I32" s="66">
        <f t="shared" si="1"/>
        <v>206.83333333333334</v>
      </c>
      <c r="J32" s="64">
        <v>1971</v>
      </c>
      <c r="K32" s="71">
        <f t="shared" si="2"/>
        <v>2.8333333333333335</v>
      </c>
      <c r="L32" s="312">
        <v>1971</v>
      </c>
      <c r="M32" s="286">
        <f>G32*Wirtschaftlichkeit!$G$5/Wirtschaftlichkeit!$G$7</f>
        <v>1</v>
      </c>
      <c r="N32" s="284">
        <f t="shared" si="3"/>
        <v>73</v>
      </c>
      <c r="P32" s="222">
        <v>1971</v>
      </c>
      <c r="Q32" s="225">
        <f>IF($C32&gt;=Wirtschaftlichkeit!$H$8,Wirtschaftlichkeit!$H$8,IF(AND($C32&lt;=Wirtschaftlichkeit!$H$8,$C32&gt;=Wirtschaftlichkeit!$H$8*Eingabemaske!$B$18),$C32,"0"))</f>
        <v>5.5876288659793811</v>
      </c>
      <c r="R32" s="222">
        <v>1971</v>
      </c>
      <c r="S32" s="224">
        <f t="shared" si="4"/>
        <v>407.89690721649481</v>
      </c>
      <c r="T32" s="222">
        <v>1971</v>
      </c>
      <c r="U32" s="226">
        <f t="shared" si="5"/>
        <v>5.5876288659793811</v>
      </c>
      <c r="V32" s="312">
        <v>1971</v>
      </c>
      <c r="W32" s="286">
        <f>Q32*Wirtschaftlichkeit!$H$5/Wirtschaftlichkeit!$H$7</f>
        <v>2</v>
      </c>
      <c r="X32" s="284">
        <f t="shared" si="6"/>
        <v>146</v>
      </c>
      <c r="Z32" s="222">
        <v>1971</v>
      </c>
      <c r="AA32" s="225">
        <f>IF($C32&gt;=Wirtschaftlichkeit!$I$8,Wirtschaftlichkeit!$I$8,IF(AND($C32&lt;=Wirtschaftlichkeit!$I$8,$C32&gt;=Wirtschaftlichkeit!$I$8*Eingabemaske!$B$18),$C32,"0"))</f>
        <v>8.2471643149712612</v>
      </c>
      <c r="AB32" s="222">
        <v>1971</v>
      </c>
      <c r="AC32" s="224">
        <f t="shared" si="7"/>
        <v>602.04299499290209</v>
      </c>
      <c r="AD32" s="222">
        <v>1971</v>
      </c>
      <c r="AE32" s="226">
        <f t="shared" si="8"/>
        <v>8.2471643149712612</v>
      </c>
      <c r="AF32" s="312">
        <v>1971</v>
      </c>
      <c r="AG32" s="286">
        <f>AA32*Wirtschaftlichkeit!$I$5/Wirtschaftlichkeit!$I$7</f>
        <v>3.0000000000000004</v>
      </c>
      <c r="AH32" s="284">
        <f t="shared" si="9"/>
        <v>219.00000000000003</v>
      </c>
      <c r="AJ32" s="222">
        <v>1971</v>
      </c>
      <c r="AK32" s="225">
        <f>IF($C32&gt;=Wirtschaftlichkeit!$J$8,Wirtschaftlichkeit!$J$8,IF(AND($C32&lt;=Wirtschaftlichkeit!$J$8,$C32&gt;=Wirtschaftlichkeit!$J$8*Eingabemaske!$B$18),$C32,"0"))</f>
        <v>10.537455322965799</v>
      </c>
      <c r="AL32" s="222">
        <v>1971</v>
      </c>
      <c r="AM32" s="224">
        <f t="shared" si="10"/>
        <v>769.23423857650334</v>
      </c>
      <c r="AN32" s="222">
        <v>1971</v>
      </c>
      <c r="AO32" s="226">
        <f t="shared" si="11"/>
        <v>10.537455322965799</v>
      </c>
      <c r="AP32" s="312">
        <v>1971</v>
      </c>
      <c r="AQ32" s="286">
        <f>AK32*Wirtschaftlichkeit!$J$5/Wirtschaftlichkeit!$J$7</f>
        <v>4</v>
      </c>
      <c r="AR32" s="284">
        <f t="shared" si="12"/>
        <v>292</v>
      </c>
      <c r="AT32" s="222">
        <v>1971</v>
      </c>
      <c r="AU32" s="225">
        <f>IF($C32&gt;=Wirtschaftlichkeit!$K$8,Wirtschaftlichkeit!$K$8,IF(AND($C32&lt;=Wirtschaftlichkeit!$K$8,$C32&gt;=Wirtschaftlichkeit!$K$8*Eingabemaske!$B$18),$C32,"0"))</f>
        <v>12.739122166763016</v>
      </c>
      <c r="AV32" s="222">
        <v>1971</v>
      </c>
      <c r="AW32" s="224">
        <f t="shared" si="13"/>
        <v>929.95591817370018</v>
      </c>
      <c r="AX32" s="222">
        <v>1971</v>
      </c>
      <c r="AY32" s="226">
        <f t="shared" si="14"/>
        <v>12.739122166763016</v>
      </c>
      <c r="AZ32" s="312">
        <v>1971</v>
      </c>
      <c r="BA32" s="286">
        <f>AU32*Wirtschaftlichkeit!$K$5/Wirtschaftlichkeit!$K$7</f>
        <v>5</v>
      </c>
      <c r="BB32" s="284">
        <f t="shared" si="15"/>
        <v>365</v>
      </c>
      <c r="BD32" s="222">
        <v>1971</v>
      </c>
      <c r="BE32" s="225">
        <f>IF($C32&gt;=Wirtschaftlichkeit!$L$8,Wirtschaftlichkeit!$L$8,IF(AND($C32&lt;=Wirtschaftlichkeit!$L$8,$C32&gt;=Wirtschaftlichkeit!$L$8*Eingabemaske!$B$18),$C32,"0"))</f>
        <v>14.87189090675227</v>
      </c>
      <c r="BF32" s="222">
        <v>1971</v>
      </c>
      <c r="BG32" s="224">
        <f t="shared" si="16"/>
        <v>1085.6480361929157</v>
      </c>
      <c r="BH32" s="222">
        <v>1971</v>
      </c>
      <c r="BI32" s="226">
        <f t="shared" si="17"/>
        <v>14.87189090675227</v>
      </c>
      <c r="BJ32" s="312">
        <v>1971</v>
      </c>
      <c r="BK32" s="286">
        <f>BE32*Wirtschaftlichkeit!$L$5/Wirtschaftlichkeit!$L$7</f>
        <v>6</v>
      </c>
      <c r="BL32" s="284">
        <f t="shared" si="18"/>
        <v>438</v>
      </c>
      <c r="BN32" s="222">
        <v>1971</v>
      </c>
      <c r="BO32" s="225">
        <f>IF($C32&gt;=Wirtschaftlichkeit!$M$8,Wirtschaftlichkeit!$M$8,IF(AND($C32&lt;=Wirtschaftlichkeit!$M$8,$C32&gt;=Wirtschaftlichkeit!$M$8*Eingabemaske!$B$18),$C32,"0"))</f>
        <v>16.948500863015312</v>
      </c>
      <c r="BP32" s="222">
        <v>1971</v>
      </c>
      <c r="BQ32" s="224">
        <f t="shared" si="19"/>
        <v>1237.2405630001178</v>
      </c>
      <c r="BR32" s="222">
        <v>1971</v>
      </c>
      <c r="BS32" s="226">
        <f t="shared" si="20"/>
        <v>16.948500863015312</v>
      </c>
      <c r="BT32" s="312">
        <v>1971</v>
      </c>
      <c r="BU32" s="286">
        <f>BO32*Wirtschaftlichkeit!$M$5/Wirtschaftlichkeit!$M$7</f>
        <v>7</v>
      </c>
      <c r="BV32" s="284">
        <f t="shared" si="21"/>
        <v>511</v>
      </c>
      <c r="BX32" s="222">
        <v>1971</v>
      </c>
      <c r="BY32" s="225">
        <f>IF($C32&gt;=Wirtschaftlichkeit!$N$8,Wirtschaftlichkeit!$N$8,IF(AND($C32&lt;=Wirtschaftlichkeit!$N$8,$C32&gt;=Wirtschaftlichkeit!$N$8*Eingabemaske!$B$18),$C32,"0"))</f>
        <v>18.681750000000001</v>
      </c>
      <c r="BZ32" s="222">
        <v>1971</v>
      </c>
      <c r="CA32" s="224">
        <f t="shared" si="22"/>
        <v>1351.3011750000001</v>
      </c>
      <c r="CB32" s="222">
        <v>1971</v>
      </c>
      <c r="CC32" s="226">
        <f t="shared" si="23"/>
        <v>18.681750000000001</v>
      </c>
      <c r="CD32" s="312">
        <v>1971</v>
      </c>
      <c r="CE32" s="286">
        <f>BY32*Wirtschaftlichkeit!$N$5/Wirtschaftlichkeit!$N$7</f>
        <v>7.8751856085637373</v>
      </c>
      <c r="CF32" s="284">
        <f t="shared" si="24"/>
        <v>569.63333553844086</v>
      </c>
      <c r="CH32" s="222">
        <v>1971</v>
      </c>
      <c r="CI32" s="225">
        <f>IF($C32&gt;=Wirtschaftlichkeit!$O$8,Wirtschaftlichkeit!$O$8,IF(AND($C32&lt;=Wirtschaftlichkeit!$O$8,$C32&gt;=Wirtschaftlichkeit!$O$8*Eingabemaske!$B$18),$C32,"0"))</f>
        <v>18.681750000000001</v>
      </c>
      <c r="CJ32" s="222">
        <v>1971</v>
      </c>
      <c r="CK32" s="224">
        <f t="shared" si="25"/>
        <v>1351.3011750000001</v>
      </c>
      <c r="CL32" s="222">
        <v>1971</v>
      </c>
      <c r="CM32" s="226">
        <f t="shared" si="26"/>
        <v>18.681750000000001</v>
      </c>
      <c r="CN32" s="312">
        <v>1971</v>
      </c>
      <c r="CO32" s="286">
        <f>CI32*Wirtschaftlichkeit!$O$5/Wirtschaftlichkeit!$O$7</f>
        <v>8.0192786132807505</v>
      </c>
      <c r="CP32" s="284">
        <f t="shared" si="27"/>
        <v>580.05596974473201</v>
      </c>
      <c r="CR32" s="222">
        <v>1971</v>
      </c>
      <c r="CS32" s="225">
        <f>IF($C32&gt;=Wirtschaftlichkeit!$P$8,Wirtschaftlichkeit!$P$8,IF(AND($C32&lt;=Wirtschaftlichkeit!$P$8,$C32&gt;=Wirtschaftlichkeit!$P$8*Eingabemaske!$B$18),$C32,"0"))</f>
        <v>18.681750000000001</v>
      </c>
      <c r="CT32" s="222">
        <v>1971</v>
      </c>
      <c r="CU32" s="224">
        <f t="shared" si="28"/>
        <v>1351.3011750000001</v>
      </c>
      <c r="CV32" s="222">
        <v>1971</v>
      </c>
      <c r="CW32" s="226">
        <f t="shared" si="29"/>
        <v>18.681750000000001</v>
      </c>
      <c r="CX32" s="312">
        <v>1971</v>
      </c>
      <c r="CY32" s="286">
        <f>CS32*Wirtschaftlichkeit!$P$5/Wirtschaftlichkeit!$P$7</f>
        <v>8.1510919364456598</v>
      </c>
      <c r="CZ32" s="284">
        <f t="shared" si="30"/>
        <v>589.59038158909334</v>
      </c>
      <c r="DB32" s="222">
        <v>1971</v>
      </c>
      <c r="DC32" s="225">
        <f>IF($C32&gt;=Wirtschaftlichkeit!$Q$8,Wirtschaftlichkeit!$Q$8,IF(AND($C32&lt;=Wirtschaftlichkeit!$Q$8,$C32&gt;=Wirtschaftlichkeit!$Q$8*Eingabemaske!$B$18),$C32,"0"))</f>
        <v>18.681750000000001</v>
      </c>
      <c r="DD32" s="222">
        <v>1971</v>
      </c>
      <c r="DE32" s="224">
        <f t="shared" si="31"/>
        <v>1351.3011750000001</v>
      </c>
      <c r="DF32" s="222">
        <v>1971</v>
      </c>
      <c r="DG32" s="226">
        <f t="shared" si="32"/>
        <v>18.681750000000001</v>
      </c>
      <c r="DH32" s="312">
        <v>1971</v>
      </c>
      <c r="DI32" s="286">
        <f>DC32*Wirtschaftlichkeit!$Q$5/Wirtschaftlichkeit!$Q$7</f>
        <v>8.5538014753757139</v>
      </c>
      <c r="DJ32" s="284">
        <f t="shared" si="33"/>
        <v>618.71944461262649</v>
      </c>
      <c r="DL32" s="222">
        <v>1971</v>
      </c>
      <c r="DM32" s="225">
        <f>IF($C32&gt;=Wirtschaftlichkeit!$R$8,Wirtschaftlichkeit!$R$8,IF(AND($C32&lt;=Wirtschaftlichkeit!$R$8,$C32&gt;=Wirtschaftlichkeit!$R$8*Eingabemaske!$B$18),$C32,"0"))</f>
        <v>18.681750000000001</v>
      </c>
      <c r="DN32" s="222">
        <v>1971</v>
      </c>
      <c r="DO32" s="224">
        <f t="shared" si="34"/>
        <v>1351.3011750000001</v>
      </c>
      <c r="DP32" s="222">
        <v>1971</v>
      </c>
      <c r="DQ32" s="226">
        <f t="shared" si="35"/>
        <v>18.681750000000001</v>
      </c>
      <c r="DR32" s="312">
        <v>1971</v>
      </c>
      <c r="DS32" s="286">
        <f>DM32*Wirtschaftlichkeit!$R$5/Wirtschaftlichkeit!$R$7</f>
        <v>8.6667504301557798</v>
      </c>
      <c r="DT32" s="284">
        <f t="shared" si="36"/>
        <v>626.8893460035199</v>
      </c>
      <c r="DV32" s="222">
        <v>1971</v>
      </c>
      <c r="DW32" s="225">
        <f>IF($C32&gt;=Wirtschaftlichkeit!$S$8,Wirtschaftlichkeit!$S$8,IF(AND($C32&lt;=Wirtschaftlichkeit!$S$8,$C32&gt;=Wirtschaftlichkeit!$S$8*Eingabemaske!$B$18),$C32,"0"))</f>
        <v>18.681750000000001</v>
      </c>
      <c r="DX32" s="222">
        <v>1971</v>
      </c>
      <c r="DY32" s="224">
        <f t="shared" si="37"/>
        <v>1351.3011750000001</v>
      </c>
      <c r="DZ32" s="222">
        <v>1971</v>
      </c>
      <c r="EA32" s="226">
        <f t="shared" si="38"/>
        <v>18.681750000000001</v>
      </c>
      <c r="EB32" s="312">
        <v>1971</v>
      </c>
      <c r="EC32" s="286">
        <f>DW32*Wirtschaftlichkeit!$S$5/Wirtschaftlichkeit!$S$7</f>
        <v>8.7723940004672158</v>
      </c>
      <c r="ED32" s="284">
        <f t="shared" si="39"/>
        <v>634.53082930637117</v>
      </c>
      <c r="EF32" s="222">
        <v>1971</v>
      </c>
      <c r="EG32" s="225">
        <f>IF($C32&gt;=Wirtschaftlichkeit!$T$8,Wirtschaftlichkeit!$T$8,IF(AND($C32&lt;=Wirtschaftlichkeit!$T$8,$C32&gt;=Wirtschaftlichkeit!$T$8*Eingabemaske!$B$18),$C32,"0"))</f>
        <v>18.681750000000001</v>
      </c>
      <c r="EH32" s="222">
        <v>1971</v>
      </c>
      <c r="EI32" s="224">
        <f t="shared" si="40"/>
        <v>1351.3011750000001</v>
      </c>
      <c r="EJ32" s="222">
        <v>1971</v>
      </c>
      <c r="EK32" s="226">
        <f t="shared" si="41"/>
        <v>18.681750000000001</v>
      </c>
      <c r="EL32" s="312">
        <v>1971</v>
      </c>
      <c r="EM32" s="286">
        <f>EG32*Wirtschaftlichkeit!$T$5/Wirtschaftlichkeit!$T$7</f>
        <v>8.8717246698513321</v>
      </c>
      <c r="EN32" s="284">
        <f t="shared" si="42"/>
        <v>641.71568352250677</v>
      </c>
      <c r="EP32" s="222">
        <v>1971</v>
      </c>
      <c r="EQ32" s="225">
        <f>IF($C32&gt;=Wirtschaftlichkeit!$U$8,Wirtschaftlichkeit!$U$8,IF(AND($C32&lt;=Wirtschaftlichkeit!$U$8,$C32&gt;=Wirtschaftlichkeit!$U$8*Eingabemaske!$B$18),$C32,"0"))</f>
        <v>18.681750000000001</v>
      </c>
      <c r="ER32" s="222">
        <v>1971</v>
      </c>
      <c r="ES32" s="224">
        <f t="shared" si="43"/>
        <v>1351.3011750000001</v>
      </c>
      <c r="ET32" s="222">
        <v>1971</v>
      </c>
      <c r="EU32" s="226">
        <f t="shared" si="44"/>
        <v>18.681750000000001</v>
      </c>
      <c r="EV32" s="312">
        <v>1971</v>
      </c>
      <c r="EW32" s="286">
        <f>EQ32*Wirtschaftlichkeit!$U$5/Wirtschaftlichkeit!$U$7</f>
        <v>8.9655400419573468</v>
      </c>
      <c r="EX32" s="284">
        <f t="shared" si="45"/>
        <v>648.50160146702069</v>
      </c>
      <c r="EZ32" s="222">
        <v>1971</v>
      </c>
      <c r="FA32" s="225">
        <f>IF($C32&gt;=Wirtschaftlichkeit!$V$8,Wirtschaftlichkeit!$V$8,IF(AND($C32&lt;=Wirtschaftlichkeit!$V$8,$C32&gt;=Wirtschaftlichkeit!$V$8*Eingabemaske!$B$18),$C32,"0"))</f>
        <v>18.681750000000001</v>
      </c>
      <c r="FB32" s="222">
        <v>1971</v>
      </c>
      <c r="FC32" s="224">
        <f t="shared" si="46"/>
        <v>1351.3011750000001</v>
      </c>
      <c r="FD32" s="222">
        <v>1971</v>
      </c>
      <c r="FE32" s="226">
        <f t="shared" si="47"/>
        <v>18.681750000000001</v>
      </c>
      <c r="FF32" s="312">
        <v>1971</v>
      </c>
      <c r="FG32" s="286">
        <f>FA32*Wirtschaftlichkeit!$V$5/Wirtschaftlichkeit!$V$7</f>
        <v>9.0544913416040966</v>
      </c>
      <c r="FH32" s="284">
        <f t="shared" si="48"/>
        <v>654.93568798088722</v>
      </c>
      <c r="FJ32" s="222">
        <v>1971</v>
      </c>
      <c r="FK32" s="225">
        <f>IF($C32&gt;=Wirtschaftlichkeit!$W$8,Wirtschaftlichkeit!$W$8,IF(AND($C32&lt;=Wirtschaftlichkeit!$W$8,$C32&gt;=Wirtschaftlichkeit!$W$8*Eingabemaske!$B$18),$C32,"0"))</f>
        <v>18.681750000000001</v>
      </c>
      <c r="FL32" s="222">
        <v>1971</v>
      </c>
      <c r="FM32" s="224">
        <f t="shared" si="49"/>
        <v>1351.3011750000001</v>
      </c>
      <c r="FN32" s="222">
        <v>1971</v>
      </c>
      <c r="FO32" s="226">
        <f t="shared" si="50"/>
        <v>18.681750000000001</v>
      </c>
      <c r="FP32" s="312">
        <v>1971</v>
      </c>
      <c r="FQ32" s="286">
        <f>FK32*Wirtschaftlichkeit!$W$5/Wirtschaftlichkeit!$W$7</f>
        <v>9.1391176103093734</v>
      </c>
      <c r="FR32" s="284">
        <f t="shared" si="51"/>
        <v>661.05693338548303</v>
      </c>
      <c r="FT32" s="222">
        <v>1971</v>
      </c>
      <c r="FU32" s="225">
        <f>IF($C32&gt;=Wirtschaftlichkeit!$X$8,Wirtschaftlichkeit!$X$8,IF(AND($C32&lt;=Wirtschaftlichkeit!$X$8,$C32&gt;=Wirtschaftlichkeit!$X$8*Eingabemaske!$B$18),$C32,"0"))</f>
        <v>18.681750000000001</v>
      </c>
      <c r="FV32" s="222">
        <v>1971</v>
      </c>
      <c r="FW32" s="224">
        <f t="shared" si="52"/>
        <v>1351.3011750000001</v>
      </c>
      <c r="FX32" s="222">
        <v>1971</v>
      </c>
      <c r="FY32" s="226">
        <f t="shared" si="53"/>
        <v>18.681750000000001</v>
      </c>
      <c r="FZ32" s="312">
        <v>1971</v>
      </c>
      <c r="GA32" s="286">
        <f>FU32*Wirtschaftlichkeit!$X$5/Wirtschaftlichkeit!$X$7</f>
        <v>9.2198703988843356</v>
      </c>
      <c r="GB32" s="284">
        <f t="shared" si="54"/>
        <v>666.89799956428715</v>
      </c>
      <c r="GD32" s="222">
        <v>1971</v>
      </c>
      <c r="GE32" s="225" t="str">
        <f>IF($C32&gt;=Wirtschaftlichkeit!$Y$8,Wirtschaftlichkeit!$Y$8,IF(AND($C32&lt;=Wirtschaftlichkeit!$Y$8,$C32&gt;=Wirtschaftlichkeit!$Y$8*Eingabemaske!$B$18),$C32,"0"))</f>
        <v>0</v>
      </c>
      <c r="GF32" s="222">
        <v>1971</v>
      </c>
      <c r="GG32" s="224">
        <f t="shared" si="55"/>
        <v>0</v>
      </c>
      <c r="GH32" s="222">
        <v>1971</v>
      </c>
      <c r="GI32" s="226" t="str">
        <f t="shared" si="56"/>
        <v xml:space="preserve"> </v>
      </c>
      <c r="GJ32" s="312">
        <v>1971</v>
      </c>
      <c r="GK32" s="286">
        <f>GE32*Wirtschaftlichkeit!$Y$5/Wirtschaftlichkeit!$Y$7</f>
        <v>0</v>
      </c>
      <c r="GL32" s="284">
        <f t="shared" si="57"/>
        <v>0</v>
      </c>
      <c r="GN32" s="222">
        <v>1971</v>
      </c>
      <c r="GO32" s="225" t="str">
        <f>IF($C32&gt;=Wirtschaftlichkeit!$Z$8,Wirtschaftlichkeit!$Z$8,IF(AND($C32&lt;=Wirtschaftlichkeit!$Z$8,$C32&gt;=Wirtschaftlichkeit!$Z$8*Eingabemaske!$B$18),$C32,"0"))</f>
        <v>0</v>
      </c>
      <c r="GP32" s="222">
        <v>1971</v>
      </c>
      <c r="GQ32" s="224">
        <f t="shared" si="58"/>
        <v>0</v>
      </c>
      <c r="GR32" s="222">
        <v>1971</v>
      </c>
      <c r="GS32" s="226" t="str">
        <f t="shared" si="59"/>
        <v xml:space="preserve"> </v>
      </c>
      <c r="GT32" s="312">
        <v>1971</v>
      </c>
      <c r="GU32" s="286">
        <f>GO32*Wirtschaftlichkeit!$Z$5/Wirtschaftlichkeit!$Z$7</f>
        <v>0</v>
      </c>
      <c r="GV32" s="284">
        <f t="shared" si="60"/>
        <v>0</v>
      </c>
      <c r="GW32" s="266"/>
      <c r="GX32" s="258">
        <v>1971</v>
      </c>
      <c r="GY32" s="270">
        <f>IF(Berechnung_Diagramme!$C$28=Berechnungen_Lastgang!$F$2,Berechnungen_Lastgang!G32,IF(Berechnung_Diagramme!$C$28=Berechnungen_Lastgang!$P$2,Berechnungen_Lastgang!Q32,IF(Berechnung_Diagramme!$C$28=Berechnungen_Lastgang!$Z$2,Berechnungen_Lastgang!AA32,IF(Berechnung_Diagramme!$C$28=Berechnungen_Lastgang!$AJ$2,Berechnungen_Lastgang!AK32,IF(Berechnung_Diagramme!$C$28=Berechnungen_Lastgang!$AT$2,Berechnungen_Lastgang!AU32,IF(Berechnung_Diagramme!$C$28=Berechnungen_Lastgang!$BD$2,Berechnungen_Lastgang!BE32,IF(Berechnung_Diagramme!$C$28=Berechnungen_Lastgang!$BN$2,Berechnungen_Lastgang!BO32,IF(Berechnung_Diagramme!$C$28=Berechnungen_Lastgang!$BX$2,Berechnungen_Lastgang!BY32,IF(Berechnung_Diagramme!$C$28=Berechnungen_Lastgang!$CH$2,Berechnungen_Lastgang!CI32,IF(Berechnung_Diagramme!$C$28=Berechnungen_Lastgang!$CR$2,Berechnungen_Lastgang!CS32,IF(Berechnung_Diagramme!$C$28=Berechnungen_Lastgang!$DB$2,Berechnungen_Lastgang!DC32,IF(Berechnung_Diagramme!$C$28=Berechnungen_Lastgang!$DL$2,Berechnungen_Lastgang!DM32,IF(Berechnung_Diagramme!$C$28=Berechnungen_Lastgang!$DV$2,Berechnungen_Lastgang!DW32,IF(Berechnung_Diagramme!$C$28=Berechnungen_Lastgang!$EF$2,Berechnungen_Lastgang!EG32,IF(Berechnung_Diagramme!$C$28=Berechnungen_Lastgang!$EP$2,Berechnungen_Lastgang!EQ32,IF(Berechnung_Diagramme!$C$28=Berechnungen_Lastgang!$EZ$2,Berechnungen_Lastgang!FA32,IF(Berechnung_Diagramme!$C$28=Berechnungen_Lastgang!$FJ$2,Berechnungen_Lastgang!FK32,IF(Berechnung_Diagramme!$C$28=Berechnungen_Lastgang!$FT$2,Berechnungen_Lastgang!FU32,IF(Berechnung_Diagramme!$C$28=Berechnungen_Lastgang!$GD$2,Berechnungen_Lastgang!GE32,IF(Berechnung_Diagramme!$C$28=Berechnungen_Lastgang!$GN$2,Berechnungen_Lastgang!GO32,""))))))))))))))))))))</f>
        <v>18.681750000000001</v>
      </c>
    </row>
    <row r="33" spans="2:207" ht="14.45" x14ac:dyDescent="0.3">
      <c r="B33" s="64">
        <v>2044</v>
      </c>
      <c r="C33" s="67">
        <f>C32+((C35-C32)/(B35-B32))*(B33-B32)</f>
        <v>18.340199999999999</v>
      </c>
      <c r="D33" s="66">
        <f t="shared" si="0"/>
        <v>1326.3680249999998</v>
      </c>
      <c r="F33" s="64">
        <v>2044</v>
      </c>
      <c r="G33" s="225">
        <f>IF($C33&gt;=Wirtschaftlichkeit!$G$8,Wirtschaftlichkeit!$G$8,IF(AND($C33&lt;=Wirtschaftlichkeit!$G$8,$C33&gt;=Wirtschaftlichkeit!$G$8*Eingabemaske!$B$18),$C33,"0"))</f>
        <v>2.8333333333333335</v>
      </c>
      <c r="H33" s="64">
        <v>2044</v>
      </c>
      <c r="I33" s="66">
        <f t="shared" si="1"/>
        <v>206.83333333333334</v>
      </c>
      <c r="J33" s="64">
        <v>2044</v>
      </c>
      <c r="K33" s="71">
        <f t="shared" si="2"/>
        <v>2.8333333333333335</v>
      </c>
      <c r="L33" s="312">
        <v>2044</v>
      </c>
      <c r="M33" s="286">
        <f>G33*Wirtschaftlichkeit!$G$5/Wirtschaftlichkeit!$G$7</f>
        <v>1</v>
      </c>
      <c r="N33" s="284">
        <f t="shared" si="3"/>
        <v>73</v>
      </c>
      <c r="P33" s="222">
        <v>2044</v>
      </c>
      <c r="Q33" s="225">
        <f>IF($C33&gt;=Wirtschaftlichkeit!$H$8,Wirtschaftlichkeit!$H$8,IF(AND($C33&lt;=Wirtschaftlichkeit!$H$8,$C33&gt;=Wirtschaftlichkeit!$H$8*Eingabemaske!$B$18),$C33,"0"))</f>
        <v>5.5876288659793811</v>
      </c>
      <c r="R33" s="222">
        <v>2044</v>
      </c>
      <c r="S33" s="224">
        <f t="shared" si="4"/>
        <v>407.89690721649481</v>
      </c>
      <c r="T33" s="222">
        <v>2044</v>
      </c>
      <c r="U33" s="226">
        <f t="shared" si="5"/>
        <v>5.5876288659793811</v>
      </c>
      <c r="V33" s="312">
        <v>2044</v>
      </c>
      <c r="W33" s="286">
        <f>Q33*Wirtschaftlichkeit!$H$5/Wirtschaftlichkeit!$H$7</f>
        <v>2</v>
      </c>
      <c r="X33" s="284">
        <f t="shared" si="6"/>
        <v>146</v>
      </c>
      <c r="Z33" s="222">
        <v>2044</v>
      </c>
      <c r="AA33" s="225">
        <f>IF($C33&gt;=Wirtschaftlichkeit!$I$8,Wirtschaftlichkeit!$I$8,IF(AND($C33&lt;=Wirtschaftlichkeit!$I$8,$C33&gt;=Wirtschaftlichkeit!$I$8*Eingabemaske!$B$18),$C33,"0"))</f>
        <v>8.2471643149712612</v>
      </c>
      <c r="AB33" s="222">
        <v>2044</v>
      </c>
      <c r="AC33" s="224">
        <f t="shared" si="7"/>
        <v>602.04299499290209</v>
      </c>
      <c r="AD33" s="222">
        <v>2044</v>
      </c>
      <c r="AE33" s="226">
        <f t="shared" si="8"/>
        <v>8.2471643149712612</v>
      </c>
      <c r="AF33" s="312">
        <v>2044</v>
      </c>
      <c r="AG33" s="286">
        <f>AA33*Wirtschaftlichkeit!$I$5/Wirtschaftlichkeit!$I$7</f>
        <v>3.0000000000000004</v>
      </c>
      <c r="AH33" s="284">
        <f t="shared" si="9"/>
        <v>219.00000000000003</v>
      </c>
      <c r="AJ33" s="222">
        <v>2044</v>
      </c>
      <c r="AK33" s="225">
        <f>IF($C33&gt;=Wirtschaftlichkeit!$J$8,Wirtschaftlichkeit!$J$8,IF(AND($C33&lt;=Wirtschaftlichkeit!$J$8,$C33&gt;=Wirtschaftlichkeit!$J$8*Eingabemaske!$B$18),$C33,"0"))</f>
        <v>10.537455322965799</v>
      </c>
      <c r="AL33" s="222">
        <v>2044</v>
      </c>
      <c r="AM33" s="224">
        <f t="shared" si="10"/>
        <v>769.23423857650334</v>
      </c>
      <c r="AN33" s="222">
        <v>2044</v>
      </c>
      <c r="AO33" s="226">
        <f t="shared" si="11"/>
        <v>10.537455322965799</v>
      </c>
      <c r="AP33" s="312">
        <v>2044</v>
      </c>
      <c r="AQ33" s="286">
        <f>AK33*Wirtschaftlichkeit!$J$5/Wirtschaftlichkeit!$J$7</f>
        <v>4</v>
      </c>
      <c r="AR33" s="284">
        <f t="shared" si="12"/>
        <v>292</v>
      </c>
      <c r="AT33" s="222">
        <v>2044</v>
      </c>
      <c r="AU33" s="225">
        <f>IF($C33&gt;=Wirtschaftlichkeit!$K$8,Wirtschaftlichkeit!$K$8,IF(AND($C33&lt;=Wirtschaftlichkeit!$K$8,$C33&gt;=Wirtschaftlichkeit!$K$8*Eingabemaske!$B$18),$C33,"0"))</f>
        <v>12.739122166763016</v>
      </c>
      <c r="AV33" s="222">
        <v>2044</v>
      </c>
      <c r="AW33" s="224">
        <f t="shared" si="13"/>
        <v>929.95591817370018</v>
      </c>
      <c r="AX33" s="222">
        <v>2044</v>
      </c>
      <c r="AY33" s="226">
        <f t="shared" si="14"/>
        <v>12.739122166763016</v>
      </c>
      <c r="AZ33" s="312">
        <v>2044</v>
      </c>
      <c r="BA33" s="286">
        <f>AU33*Wirtschaftlichkeit!$K$5/Wirtschaftlichkeit!$K$7</f>
        <v>5</v>
      </c>
      <c r="BB33" s="284">
        <f t="shared" si="15"/>
        <v>365</v>
      </c>
      <c r="BD33" s="222">
        <v>2044</v>
      </c>
      <c r="BE33" s="225">
        <f>IF($C33&gt;=Wirtschaftlichkeit!$L$8,Wirtschaftlichkeit!$L$8,IF(AND($C33&lt;=Wirtschaftlichkeit!$L$8,$C33&gt;=Wirtschaftlichkeit!$L$8*Eingabemaske!$B$18),$C33,"0"))</f>
        <v>14.87189090675227</v>
      </c>
      <c r="BF33" s="222">
        <v>2044</v>
      </c>
      <c r="BG33" s="224">
        <f t="shared" si="16"/>
        <v>1085.6480361929157</v>
      </c>
      <c r="BH33" s="222">
        <v>2044</v>
      </c>
      <c r="BI33" s="226">
        <f t="shared" si="17"/>
        <v>14.87189090675227</v>
      </c>
      <c r="BJ33" s="312">
        <v>2044</v>
      </c>
      <c r="BK33" s="286">
        <f>BE33*Wirtschaftlichkeit!$L$5/Wirtschaftlichkeit!$L$7</f>
        <v>6</v>
      </c>
      <c r="BL33" s="284">
        <f t="shared" si="18"/>
        <v>438</v>
      </c>
      <c r="BN33" s="222">
        <v>2044</v>
      </c>
      <c r="BO33" s="225">
        <f>IF($C33&gt;=Wirtschaftlichkeit!$M$8,Wirtschaftlichkeit!$M$8,IF(AND($C33&lt;=Wirtschaftlichkeit!$M$8,$C33&gt;=Wirtschaftlichkeit!$M$8*Eingabemaske!$B$18),$C33,"0"))</f>
        <v>16.948500863015312</v>
      </c>
      <c r="BP33" s="222">
        <v>2044</v>
      </c>
      <c r="BQ33" s="224">
        <f t="shared" si="19"/>
        <v>1237.2405630001178</v>
      </c>
      <c r="BR33" s="222">
        <v>2044</v>
      </c>
      <c r="BS33" s="226">
        <f t="shared" si="20"/>
        <v>16.948500863015312</v>
      </c>
      <c r="BT33" s="312">
        <v>2044</v>
      </c>
      <c r="BU33" s="286">
        <f>BO33*Wirtschaftlichkeit!$M$5/Wirtschaftlichkeit!$M$7</f>
        <v>7</v>
      </c>
      <c r="BV33" s="284">
        <f t="shared" si="21"/>
        <v>511</v>
      </c>
      <c r="BX33" s="222">
        <v>2044</v>
      </c>
      <c r="BY33" s="225">
        <f>IF($C33&gt;=Wirtschaftlichkeit!$N$8,Wirtschaftlichkeit!$N$8,IF(AND($C33&lt;=Wirtschaftlichkeit!$N$8,$C33&gt;=Wirtschaftlichkeit!$N$8*Eingabemaske!$B$18),$C33,"0"))</f>
        <v>18.340199999999999</v>
      </c>
      <c r="BZ33" s="222">
        <v>2044</v>
      </c>
      <c r="CA33" s="224">
        <f t="shared" si="22"/>
        <v>1326.3680249999998</v>
      </c>
      <c r="CB33" s="222">
        <v>2044</v>
      </c>
      <c r="CC33" s="226">
        <f t="shared" si="23"/>
        <v>18.340199999999999</v>
      </c>
      <c r="CD33" s="312">
        <v>2044</v>
      </c>
      <c r="CE33" s="286">
        <f>BY33*Wirtschaftlichkeit!$N$5/Wirtschaftlichkeit!$N$7</f>
        <v>7.7312071459140954</v>
      </c>
      <c r="CF33" s="284">
        <f t="shared" si="24"/>
        <v>559.12290776501698</v>
      </c>
      <c r="CH33" s="222">
        <v>2044</v>
      </c>
      <c r="CI33" s="225">
        <f>IF($C33&gt;=Wirtschaftlichkeit!$O$8,Wirtschaftlichkeit!$O$8,IF(AND($C33&lt;=Wirtschaftlichkeit!$O$8,$C33&gt;=Wirtschaftlichkeit!$O$8*Eingabemaske!$B$18),$C33,"0"))</f>
        <v>18.340199999999999</v>
      </c>
      <c r="CJ33" s="222">
        <v>2044</v>
      </c>
      <c r="CK33" s="224">
        <f t="shared" si="25"/>
        <v>1326.3680249999998</v>
      </c>
      <c r="CL33" s="222">
        <v>2044</v>
      </c>
      <c r="CM33" s="226">
        <f t="shared" si="26"/>
        <v>18.340199999999999</v>
      </c>
      <c r="CN33" s="312">
        <v>2044</v>
      </c>
      <c r="CO33" s="286">
        <f>CI33*Wirtschaftlichkeit!$O$5/Wirtschaftlichkeit!$O$7</f>
        <v>7.8726657632872499</v>
      </c>
      <c r="CP33" s="284">
        <f t="shared" si="27"/>
        <v>569.35323169520655</v>
      </c>
      <c r="CR33" s="222">
        <v>2044</v>
      </c>
      <c r="CS33" s="225">
        <f>IF($C33&gt;=Wirtschaftlichkeit!$P$8,Wirtschaftlichkeit!$P$8,IF(AND($C33&lt;=Wirtschaftlichkeit!$P$8,$C33&gt;=Wirtschaftlichkeit!$P$8*Eingabemaske!$B$18),$C33,"0"))</f>
        <v>18.340199999999999</v>
      </c>
      <c r="CT33" s="222">
        <v>2044</v>
      </c>
      <c r="CU33" s="224">
        <f t="shared" si="28"/>
        <v>1326.3680249999998</v>
      </c>
      <c r="CV33" s="222">
        <v>2044</v>
      </c>
      <c r="CW33" s="226">
        <f t="shared" si="29"/>
        <v>18.340199999999999</v>
      </c>
      <c r="CX33" s="312">
        <v>2044</v>
      </c>
      <c r="CY33" s="286">
        <f>CS33*Wirtschaftlichkeit!$P$5/Wirtschaftlichkeit!$P$7</f>
        <v>8.0020692029815557</v>
      </c>
      <c r="CZ33" s="284">
        <f t="shared" si="30"/>
        <v>578.71172204621371</v>
      </c>
      <c r="DB33" s="222">
        <v>2044</v>
      </c>
      <c r="DC33" s="225">
        <f>IF($C33&gt;=Wirtschaftlichkeit!$Q$8,Wirtschaftlichkeit!$Q$8,IF(AND($C33&lt;=Wirtschaftlichkeit!$Q$8,$C33&gt;=Wirtschaftlichkeit!$Q$8*Eingabemaske!$B$18),$C33,"0"))</f>
        <v>18.340199999999999</v>
      </c>
      <c r="DD33" s="222">
        <v>2044</v>
      </c>
      <c r="DE33" s="224">
        <f t="shared" si="31"/>
        <v>1326.3680249999998</v>
      </c>
      <c r="DF33" s="222">
        <v>2044</v>
      </c>
      <c r="DG33" s="226">
        <f t="shared" si="32"/>
        <v>18.340199999999999</v>
      </c>
      <c r="DH33" s="312">
        <v>2044</v>
      </c>
      <c r="DI33" s="286">
        <f>DC33*Wirtschaftlichkeit!$Q$5/Wirtschaftlichkeit!$Q$7</f>
        <v>8.3974161852441913</v>
      </c>
      <c r="DJ33" s="284">
        <f t="shared" si="33"/>
        <v>607.30331843302531</v>
      </c>
      <c r="DL33" s="222">
        <v>2044</v>
      </c>
      <c r="DM33" s="225">
        <f>IF($C33&gt;=Wirtschaftlichkeit!$R$8,Wirtschaftlichkeit!$R$8,IF(AND($C33&lt;=Wirtschaftlichkeit!$R$8,$C33&gt;=Wirtschaftlichkeit!$R$8*Eingabemaske!$B$18),$C33,"0"))</f>
        <v>18.340199999999999</v>
      </c>
      <c r="DN33" s="222">
        <v>2044</v>
      </c>
      <c r="DO33" s="224">
        <f t="shared" si="34"/>
        <v>1326.3680249999998</v>
      </c>
      <c r="DP33" s="222">
        <v>2044</v>
      </c>
      <c r="DQ33" s="226">
        <f t="shared" si="35"/>
        <v>18.340199999999999</v>
      </c>
      <c r="DR33" s="312">
        <v>2044</v>
      </c>
      <c r="DS33" s="286">
        <f>DM33*Wirtschaftlichkeit!$R$5/Wirtschaftlichkeit!$R$7</f>
        <v>8.5083001452831244</v>
      </c>
      <c r="DT33" s="284">
        <f t="shared" si="36"/>
        <v>615.32247520781618</v>
      </c>
      <c r="DV33" s="222">
        <v>2044</v>
      </c>
      <c r="DW33" s="225">
        <f>IF($C33&gt;=Wirtschaftlichkeit!$S$8,Wirtschaftlichkeit!$S$8,IF(AND($C33&lt;=Wirtschaftlichkeit!$S$8,$C33&gt;=Wirtschaftlichkeit!$S$8*Eingabemaske!$B$18),$C33,"0"))</f>
        <v>18.340199999999999</v>
      </c>
      <c r="DX33" s="222">
        <v>2044</v>
      </c>
      <c r="DY33" s="224">
        <f t="shared" si="37"/>
        <v>1326.3680249999998</v>
      </c>
      <c r="DZ33" s="222">
        <v>2044</v>
      </c>
      <c r="EA33" s="226">
        <f t="shared" si="38"/>
        <v>18.340199999999999</v>
      </c>
      <c r="EB33" s="312">
        <v>2044</v>
      </c>
      <c r="EC33" s="286">
        <f>DW33*Wirtschaftlichkeit!$S$5/Wirtschaftlichkeit!$S$7</f>
        <v>8.6120122818991174</v>
      </c>
      <c r="ED33" s="284">
        <f t="shared" si="39"/>
        <v>622.8229638508999</v>
      </c>
      <c r="EF33" s="222">
        <v>2044</v>
      </c>
      <c r="EG33" s="225">
        <f>IF($C33&gt;=Wirtschaftlichkeit!$T$8,Wirtschaftlichkeit!$T$8,IF(AND($C33&lt;=Wirtschaftlichkeit!$T$8,$C33&gt;=Wirtschaftlichkeit!$T$8*Eingabemaske!$B$18),$C33,"0"))</f>
        <v>18.340199999999999</v>
      </c>
      <c r="EH33" s="222">
        <v>2044</v>
      </c>
      <c r="EI33" s="224">
        <f t="shared" si="40"/>
        <v>1326.3680249999998</v>
      </c>
      <c r="EJ33" s="222">
        <v>2044</v>
      </c>
      <c r="EK33" s="226">
        <f t="shared" si="41"/>
        <v>18.340199999999999</v>
      </c>
      <c r="EL33" s="312">
        <v>2044</v>
      </c>
      <c r="EM33" s="286">
        <f>EG33*Wirtschaftlichkeit!$T$5/Wirtschaftlichkeit!$T$7</f>
        <v>8.7095269335050194</v>
      </c>
      <c r="EN33" s="284">
        <f t="shared" si="42"/>
        <v>629.87524876922589</v>
      </c>
      <c r="EP33" s="222">
        <v>2044</v>
      </c>
      <c r="EQ33" s="225">
        <f>IF($C33&gt;=Wirtschaftlichkeit!$U$8,Wirtschaftlichkeit!$U$8,IF(AND($C33&lt;=Wirtschaftlichkeit!$U$8,$C33&gt;=Wirtschaftlichkeit!$U$8*Eingabemaske!$B$18),$C33,"0"))</f>
        <v>18.340199999999999</v>
      </c>
      <c r="ER33" s="222">
        <v>2044</v>
      </c>
      <c r="ES33" s="224">
        <f t="shared" si="43"/>
        <v>1326.3680249999998</v>
      </c>
      <c r="ET33" s="222">
        <v>2044</v>
      </c>
      <c r="EU33" s="226">
        <f t="shared" si="44"/>
        <v>18.340199999999999</v>
      </c>
      <c r="EV33" s="312">
        <v>2044</v>
      </c>
      <c r="EW33" s="286">
        <f>EQ33*Wirtschaftlichkeit!$U$5/Wirtschaftlichkeit!$U$7</f>
        <v>8.8016271215226691</v>
      </c>
      <c r="EX33" s="284">
        <f t="shared" si="45"/>
        <v>636.53595827528909</v>
      </c>
      <c r="EZ33" s="222">
        <v>2044</v>
      </c>
      <c r="FA33" s="225">
        <f>IF($C33&gt;=Wirtschaftlichkeit!$V$8,Wirtschaftlichkeit!$V$8,IF(AND($C33&lt;=Wirtschaftlichkeit!$V$8,$C33&gt;=Wirtschaftlichkeit!$V$8*Eingabemaske!$B$18),$C33,"0"))</f>
        <v>18.340199999999999</v>
      </c>
      <c r="FB33" s="222">
        <v>2044</v>
      </c>
      <c r="FC33" s="224">
        <f t="shared" si="46"/>
        <v>1326.3680249999998</v>
      </c>
      <c r="FD33" s="222">
        <v>2044</v>
      </c>
      <c r="FE33" s="226">
        <f t="shared" si="47"/>
        <v>18.340199999999999</v>
      </c>
      <c r="FF33" s="312">
        <v>2044</v>
      </c>
      <c r="FG33" s="286">
        <f>FA33*Wirtschaftlichkeit!$V$5/Wirtschaftlichkeit!$V$7</f>
        <v>8.8889521647215819</v>
      </c>
      <c r="FH33" s="284">
        <f t="shared" si="48"/>
        <v>642.85132806846366</v>
      </c>
      <c r="FJ33" s="222">
        <v>2044</v>
      </c>
      <c r="FK33" s="225">
        <f>IF($C33&gt;=Wirtschaftlichkeit!$W$8,Wirtschaftlichkeit!$W$8,IF(AND($C33&lt;=Wirtschaftlichkeit!$W$8,$C33&gt;=Wirtschaftlichkeit!$W$8*Eingabemaske!$B$18),$C33,"0"))</f>
        <v>18.340199999999999</v>
      </c>
      <c r="FL33" s="222">
        <v>2044</v>
      </c>
      <c r="FM33" s="224">
        <f t="shared" si="49"/>
        <v>1326.3680249999998</v>
      </c>
      <c r="FN33" s="222">
        <v>2044</v>
      </c>
      <c r="FO33" s="226">
        <f t="shared" si="50"/>
        <v>18.340199999999999</v>
      </c>
      <c r="FP33" s="312">
        <v>2044</v>
      </c>
      <c r="FQ33" s="286">
        <f>FK33*Wirtschaftlichkeit!$W$5/Wirtschaftlichkeit!$W$7</f>
        <v>8.972031249566875</v>
      </c>
      <c r="FR33" s="284">
        <f t="shared" si="51"/>
        <v>648.85962905128054</v>
      </c>
      <c r="FT33" s="222">
        <v>2044</v>
      </c>
      <c r="FU33" s="225">
        <f>IF($C33&gt;=Wirtschaftlichkeit!$X$8,Wirtschaftlichkeit!$X$8,IF(AND($C33&lt;=Wirtschaftlichkeit!$X$8,$C33&gt;=Wirtschaftlichkeit!$X$8*Eingabemaske!$B$18),$C33,"0"))</f>
        <v>18.340199999999999</v>
      </c>
      <c r="FV33" s="222">
        <v>2044</v>
      </c>
      <c r="FW33" s="224">
        <f t="shared" si="52"/>
        <v>669.41729999999995</v>
      </c>
      <c r="FX33" s="222">
        <v>2044</v>
      </c>
      <c r="FY33" s="226">
        <f t="shared" si="53"/>
        <v>18.340199999999999</v>
      </c>
      <c r="FZ33" s="312">
        <v>2044</v>
      </c>
      <c r="GA33" s="286">
        <f>FU33*Wirtschaftlichkeit!$X$5/Wirtschaftlichkeit!$X$7</f>
        <v>9.0513076713701057</v>
      </c>
      <c r="GB33" s="284">
        <f t="shared" si="54"/>
        <v>330.37273000500886</v>
      </c>
      <c r="GD33" s="222">
        <v>2044</v>
      </c>
      <c r="GE33" s="225" t="str">
        <f>IF($C33&gt;=Wirtschaftlichkeit!$Y$8,Wirtschaftlichkeit!$Y$8,IF(AND($C33&lt;=Wirtschaftlichkeit!$Y$8,$C33&gt;=Wirtschaftlichkeit!$Y$8*Eingabemaske!$B$18),$C33,"0"))</f>
        <v>0</v>
      </c>
      <c r="GF33" s="222">
        <v>2044</v>
      </c>
      <c r="GG33" s="224">
        <f t="shared" si="55"/>
        <v>0</v>
      </c>
      <c r="GH33" s="222">
        <v>2044</v>
      </c>
      <c r="GI33" s="226" t="str">
        <f t="shared" si="56"/>
        <v xml:space="preserve"> </v>
      </c>
      <c r="GJ33" s="312">
        <v>2044</v>
      </c>
      <c r="GK33" s="286">
        <f>GE33*Wirtschaftlichkeit!$Y$5/Wirtschaftlichkeit!$Y$7</f>
        <v>0</v>
      </c>
      <c r="GL33" s="284">
        <f t="shared" si="57"/>
        <v>0</v>
      </c>
      <c r="GN33" s="222">
        <v>2044</v>
      </c>
      <c r="GO33" s="225" t="str">
        <f>IF($C33&gt;=Wirtschaftlichkeit!$Z$8,Wirtschaftlichkeit!$Z$8,IF(AND($C33&lt;=Wirtschaftlichkeit!$Z$8,$C33&gt;=Wirtschaftlichkeit!$Z$8*Eingabemaske!$B$18),$C33,"0"))</f>
        <v>0</v>
      </c>
      <c r="GP33" s="222">
        <v>2044</v>
      </c>
      <c r="GQ33" s="224">
        <f t="shared" si="58"/>
        <v>0</v>
      </c>
      <c r="GR33" s="222">
        <v>2044</v>
      </c>
      <c r="GS33" s="226" t="str">
        <f t="shared" si="59"/>
        <v xml:space="preserve"> </v>
      </c>
      <c r="GT33" s="312">
        <v>2044</v>
      </c>
      <c r="GU33" s="286">
        <f>GO33*Wirtschaftlichkeit!$Z$5/Wirtschaftlichkeit!$Z$7</f>
        <v>0</v>
      </c>
      <c r="GV33" s="284">
        <f t="shared" si="60"/>
        <v>0</v>
      </c>
      <c r="GW33" s="266"/>
      <c r="GX33" s="258">
        <v>2044</v>
      </c>
      <c r="GY33" s="270">
        <f>IF(Berechnung_Diagramme!$C$28=Berechnungen_Lastgang!$F$2,Berechnungen_Lastgang!G33,IF(Berechnung_Diagramme!$C$28=Berechnungen_Lastgang!$P$2,Berechnungen_Lastgang!Q33,IF(Berechnung_Diagramme!$C$28=Berechnungen_Lastgang!$Z$2,Berechnungen_Lastgang!AA33,IF(Berechnung_Diagramme!$C$28=Berechnungen_Lastgang!$AJ$2,Berechnungen_Lastgang!AK33,IF(Berechnung_Diagramme!$C$28=Berechnungen_Lastgang!$AT$2,Berechnungen_Lastgang!AU33,IF(Berechnung_Diagramme!$C$28=Berechnungen_Lastgang!$BD$2,Berechnungen_Lastgang!BE33,IF(Berechnung_Diagramme!$C$28=Berechnungen_Lastgang!$BN$2,Berechnungen_Lastgang!BO33,IF(Berechnung_Diagramme!$C$28=Berechnungen_Lastgang!$BX$2,Berechnungen_Lastgang!BY33,IF(Berechnung_Diagramme!$C$28=Berechnungen_Lastgang!$CH$2,Berechnungen_Lastgang!CI33,IF(Berechnung_Diagramme!$C$28=Berechnungen_Lastgang!$CR$2,Berechnungen_Lastgang!CS33,IF(Berechnung_Diagramme!$C$28=Berechnungen_Lastgang!$DB$2,Berechnungen_Lastgang!DC33,IF(Berechnung_Diagramme!$C$28=Berechnungen_Lastgang!$DL$2,Berechnungen_Lastgang!DM33,IF(Berechnung_Diagramme!$C$28=Berechnungen_Lastgang!$DV$2,Berechnungen_Lastgang!DW33,IF(Berechnung_Diagramme!$C$28=Berechnungen_Lastgang!$EF$2,Berechnungen_Lastgang!EG33,IF(Berechnung_Diagramme!$C$28=Berechnungen_Lastgang!$EP$2,Berechnungen_Lastgang!EQ33,IF(Berechnung_Diagramme!$C$28=Berechnungen_Lastgang!$EZ$2,Berechnungen_Lastgang!FA33,IF(Berechnung_Diagramme!$C$28=Berechnungen_Lastgang!$FJ$2,Berechnungen_Lastgang!FK33,IF(Berechnung_Diagramme!$C$28=Berechnungen_Lastgang!$FT$2,Berechnungen_Lastgang!FU33,IF(Berechnung_Diagramme!$C$28=Berechnungen_Lastgang!$GD$2,Berechnungen_Lastgang!GE33,IF(Berechnung_Diagramme!$C$28=Berechnungen_Lastgang!$GN$2,Berechnungen_Lastgang!GO33,""))))))))))))))))))))</f>
        <v>18.340199999999999</v>
      </c>
    </row>
    <row r="34" spans="2:207" ht="14.45" x14ac:dyDescent="0.3">
      <c r="B34" s="64">
        <v>2117</v>
      </c>
      <c r="C34" s="67">
        <f>C33+((C35-C33)/(B35-B33))*(B34-B33)</f>
        <v>17.998649999999998</v>
      </c>
      <c r="D34" s="66">
        <f t="shared" si="0"/>
        <v>1301.4348749999999</v>
      </c>
      <c r="F34" s="64">
        <v>2117</v>
      </c>
      <c r="G34" s="225">
        <f>IF($C34&gt;=Wirtschaftlichkeit!$G$8,Wirtschaftlichkeit!$G$8,IF(AND($C34&lt;=Wirtschaftlichkeit!$G$8,$C34&gt;=Wirtschaftlichkeit!$G$8*Eingabemaske!$B$18),$C34,"0"))</f>
        <v>2.8333333333333335</v>
      </c>
      <c r="H34" s="64">
        <v>2117</v>
      </c>
      <c r="I34" s="66">
        <f t="shared" si="1"/>
        <v>206.83333333333334</v>
      </c>
      <c r="J34" s="64">
        <v>2117</v>
      </c>
      <c r="K34" s="71">
        <f t="shared" si="2"/>
        <v>2.8333333333333335</v>
      </c>
      <c r="L34" s="312">
        <v>2117</v>
      </c>
      <c r="M34" s="286">
        <f>G34*Wirtschaftlichkeit!$G$5/Wirtschaftlichkeit!$G$7</f>
        <v>1</v>
      </c>
      <c r="N34" s="284">
        <f t="shared" si="3"/>
        <v>73</v>
      </c>
      <c r="P34" s="222">
        <v>2117</v>
      </c>
      <c r="Q34" s="225">
        <f>IF($C34&gt;=Wirtschaftlichkeit!$H$8,Wirtschaftlichkeit!$H$8,IF(AND($C34&lt;=Wirtschaftlichkeit!$H$8,$C34&gt;=Wirtschaftlichkeit!$H$8*Eingabemaske!$B$18),$C34,"0"))</f>
        <v>5.5876288659793811</v>
      </c>
      <c r="R34" s="222">
        <v>2117</v>
      </c>
      <c r="S34" s="224">
        <f t="shared" si="4"/>
        <v>407.89690721649481</v>
      </c>
      <c r="T34" s="222">
        <v>2117</v>
      </c>
      <c r="U34" s="226">
        <f t="shared" si="5"/>
        <v>5.5876288659793811</v>
      </c>
      <c r="V34" s="312">
        <v>2117</v>
      </c>
      <c r="W34" s="286">
        <f>Q34*Wirtschaftlichkeit!$H$5/Wirtschaftlichkeit!$H$7</f>
        <v>2</v>
      </c>
      <c r="X34" s="284">
        <f t="shared" si="6"/>
        <v>146</v>
      </c>
      <c r="Z34" s="222">
        <v>2117</v>
      </c>
      <c r="AA34" s="225">
        <f>IF($C34&gt;=Wirtschaftlichkeit!$I$8,Wirtschaftlichkeit!$I$8,IF(AND($C34&lt;=Wirtschaftlichkeit!$I$8,$C34&gt;=Wirtschaftlichkeit!$I$8*Eingabemaske!$B$18),$C34,"0"))</f>
        <v>8.2471643149712612</v>
      </c>
      <c r="AB34" s="222">
        <v>2117</v>
      </c>
      <c r="AC34" s="224">
        <f t="shared" si="7"/>
        <v>602.04299499290209</v>
      </c>
      <c r="AD34" s="222">
        <v>2117</v>
      </c>
      <c r="AE34" s="226">
        <f t="shared" si="8"/>
        <v>8.2471643149712612</v>
      </c>
      <c r="AF34" s="312">
        <v>2117</v>
      </c>
      <c r="AG34" s="286">
        <f>AA34*Wirtschaftlichkeit!$I$5/Wirtschaftlichkeit!$I$7</f>
        <v>3.0000000000000004</v>
      </c>
      <c r="AH34" s="284">
        <f t="shared" si="9"/>
        <v>219.00000000000003</v>
      </c>
      <c r="AJ34" s="222">
        <v>2117</v>
      </c>
      <c r="AK34" s="225">
        <f>IF($C34&gt;=Wirtschaftlichkeit!$J$8,Wirtschaftlichkeit!$J$8,IF(AND($C34&lt;=Wirtschaftlichkeit!$J$8,$C34&gt;=Wirtschaftlichkeit!$J$8*Eingabemaske!$B$18),$C34,"0"))</f>
        <v>10.537455322965799</v>
      </c>
      <c r="AL34" s="222">
        <v>2117</v>
      </c>
      <c r="AM34" s="224">
        <f t="shared" si="10"/>
        <v>769.23423857650334</v>
      </c>
      <c r="AN34" s="222">
        <v>2117</v>
      </c>
      <c r="AO34" s="226">
        <f t="shared" si="11"/>
        <v>10.537455322965799</v>
      </c>
      <c r="AP34" s="312">
        <v>2117</v>
      </c>
      <c r="AQ34" s="286">
        <f>AK34*Wirtschaftlichkeit!$J$5/Wirtschaftlichkeit!$J$7</f>
        <v>4</v>
      </c>
      <c r="AR34" s="284">
        <f t="shared" si="12"/>
        <v>292</v>
      </c>
      <c r="AT34" s="222">
        <v>2117</v>
      </c>
      <c r="AU34" s="225">
        <f>IF($C34&gt;=Wirtschaftlichkeit!$K$8,Wirtschaftlichkeit!$K$8,IF(AND($C34&lt;=Wirtschaftlichkeit!$K$8,$C34&gt;=Wirtschaftlichkeit!$K$8*Eingabemaske!$B$18),$C34,"0"))</f>
        <v>12.739122166763016</v>
      </c>
      <c r="AV34" s="222">
        <v>2117</v>
      </c>
      <c r="AW34" s="224">
        <f t="shared" si="13"/>
        <v>929.95591817370018</v>
      </c>
      <c r="AX34" s="222">
        <v>2117</v>
      </c>
      <c r="AY34" s="226">
        <f t="shared" si="14"/>
        <v>12.739122166763016</v>
      </c>
      <c r="AZ34" s="312">
        <v>2117</v>
      </c>
      <c r="BA34" s="286">
        <f>AU34*Wirtschaftlichkeit!$K$5/Wirtschaftlichkeit!$K$7</f>
        <v>5</v>
      </c>
      <c r="BB34" s="284">
        <f t="shared" si="15"/>
        <v>365</v>
      </c>
      <c r="BD34" s="222">
        <v>2117</v>
      </c>
      <c r="BE34" s="225">
        <f>IF($C34&gt;=Wirtschaftlichkeit!$L$8,Wirtschaftlichkeit!$L$8,IF(AND($C34&lt;=Wirtschaftlichkeit!$L$8,$C34&gt;=Wirtschaftlichkeit!$L$8*Eingabemaske!$B$18),$C34,"0"))</f>
        <v>14.87189090675227</v>
      </c>
      <c r="BF34" s="222">
        <v>2117</v>
      </c>
      <c r="BG34" s="224">
        <f t="shared" si="16"/>
        <v>1085.6480361929157</v>
      </c>
      <c r="BH34" s="222">
        <v>2117</v>
      </c>
      <c r="BI34" s="226">
        <f t="shared" si="17"/>
        <v>14.87189090675227</v>
      </c>
      <c r="BJ34" s="312">
        <v>2117</v>
      </c>
      <c r="BK34" s="286">
        <f>BE34*Wirtschaftlichkeit!$L$5/Wirtschaftlichkeit!$L$7</f>
        <v>6</v>
      </c>
      <c r="BL34" s="284">
        <f t="shared" si="18"/>
        <v>438</v>
      </c>
      <c r="BN34" s="222">
        <v>2117</v>
      </c>
      <c r="BO34" s="225">
        <f>IF($C34&gt;=Wirtschaftlichkeit!$M$8,Wirtschaftlichkeit!$M$8,IF(AND($C34&lt;=Wirtschaftlichkeit!$M$8,$C34&gt;=Wirtschaftlichkeit!$M$8*Eingabemaske!$B$18),$C34,"0"))</f>
        <v>16.948500863015312</v>
      </c>
      <c r="BP34" s="222">
        <v>2117</v>
      </c>
      <c r="BQ34" s="224">
        <f t="shared" si="19"/>
        <v>1237.2405630001178</v>
      </c>
      <c r="BR34" s="222">
        <v>2117</v>
      </c>
      <c r="BS34" s="226">
        <f t="shared" si="20"/>
        <v>16.948500863015312</v>
      </c>
      <c r="BT34" s="312">
        <v>2117</v>
      </c>
      <c r="BU34" s="286">
        <f>BO34*Wirtschaftlichkeit!$M$5/Wirtschaftlichkeit!$M$7</f>
        <v>7</v>
      </c>
      <c r="BV34" s="284">
        <f t="shared" si="21"/>
        <v>511</v>
      </c>
      <c r="BX34" s="222">
        <v>2117</v>
      </c>
      <c r="BY34" s="225">
        <f>IF($C34&gt;=Wirtschaftlichkeit!$N$8,Wirtschaftlichkeit!$N$8,IF(AND($C34&lt;=Wirtschaftlichkeit!$N$8,$C34&gt;=Wirtschaftlichkeit!$N$8*Eingabemaske!$B$18),$C34,"0"))</f>
        <v>17.998649999999998</v>
      </c>
      <c r="BZ34" s="222">
        <v>2117</v>
      </c>
      <c r="CA34" s="224">
        <f t="shared" si="22"/>
        <v>1301.4348749999999</v>
      </c>
      <c r="CB34" s="222">
        <v>2117</v>
      </c>
      <c r="CC34" s="226">
        <f t="shared" si="23"/>
        <v>17.998649999999998</v>
      </c>
      <c r="CD34" s="312">
        <v>2117</v>
      </c>
      <c r="CE34" s="286">
        <f>BY34*Wirtschaftlichkeit!$N$5/Wirtschaftlichkeit!$N$7</f>
        <v>7.5872286832644527</v>
      </c>
      <c r="CF34" s="284">
        <f t="shared" si="24"/>
        <v>548.61247999159309</v>
      </c>
      <c r="CH34" s="222">
        <v>2117</v>
      </c>
      <c r="CI34" s="225">
        <f>IF($C34&gt;=Wirtschaftlichkeit!$O$8,Wirtschaftlichkeit!$O$8,IF(AND($C34&lt;=Wirtschaftlichkeit!$O$8,$C34&gt;=Wirtschaftlichkeit!$O$8*Eingabemaske!$B$18),$C34,"0"))</f>
        <v>17.998649999999998</v>
      </c>
      <c r="CJ34" s="222">
        <v>2117</v>
      </c>
      <c r="CK34" s="224">
        <f t="shared" si="25"/>
        <v>1301.4348749999999</v>
      </c>
      <c r="CL34" s="222">
        <v>2117</v>
      </c>
      <c r="CM34" s="226">
        <f t="shared" si="26"/>
        <v>17.998649999999998</v>
      </c>
      <c r="CN34" s="312">
        <v>2117</v>
      </c>
      <c r="CO34" s="286">
        <f>CI34*Wirtschaftlichkeit!$O$5/Wirtschaftlichkeit!$O$7</f>
        <v>7.726052913293751</v>
      </c>
      <c r="CP34" s="284">
        <f t="shared" si="27"/>
        <v>558.65049364568108</v>
      </c>
      <c r="CR34" s="222">
        <v>2117</v>
      </c>
      <c r="CS34" s="225">
        <f>IF($C34&gt;=Wirtschaftlichkeit!$P$8,Wirtschaftlichkeit!$P$8,IF(AND($C34&lt;=Wirtschaftlichkeit!$P$8,$C34&gt;=Wirtschaftlichkeit!$P$8*Eingabemaske!$B$18),$C34,"0"))</f>
        <v>17.998649999999998</v>
      </c>
      <c r="CT34" s="222">
        <v>2117</v>
      </c>
      <c r="CU34" s="224">
        <f t="shared" si="28"/>
        <v>1301.4348749999999</v>
      </c>
      <c r="CV34" s="222">
        <v>2117</v>
      </c>
      <c r="CW34" s="226">
        <f t="shared" si="29"/>
        <v>17.998649999999998</v>
      </c>
      <c r="CX34" s="312">
        <v>2117</v>
      </c>
      <c r="CY34" s="286">
        <f>CS34*Wirtschaftlichkeit!$P$5/Wirtschaftlichkeit!$P$7</f>
        <v>7.8530464695174507</v>
      </c>
      <c r="CZ34" s="284">
        <f t="shared" si="30"/>
        <v>567.83306250333419</v>
      </c>
      <c r="DB34" s="222">
        <v>2117</v>
      </c>
      <c r="DC34" s="225">
        <f>IF($C34&gt;=Wirtschaftlichkeit!$Q$8,Wirtschaftlichkeit!$Q$8,IF(AND($C34&lt;=Wirtschaftlichkeit!$Q$8,$C34&gt;=Wirtschaftlichkeit!$Q$8*Eingabemaske!$B$18),$C34,"0"))</f>
        <v>17.998649999999998</v>
      </c>
      <c r="DD34" s="222">
        <v>2117</v>
      </c>
      <c r="DE34" s="224">
        <f t="shared" si="31"/>
        <v>1301.4348749999999</v>
      </c>
      <c r="DF34" s="222">
        <v>2117</v>
      </c>
      <c r="DG34" s="226">
        <f t="shared" si="32"/>
        <v>17.998649999999998</v>
      </c>
      <c r="DH34" s="312">
        <v>2117</v>
      </c>
      <c r="DI34" s="286">
        <f>DC34*Wirtschaftlichkeit!$Q$5/Wirtschaftlichkeit!$Q$7</f>
        <v>8.241030895112667</v>
      </c>
      <c r="DJ34" s="284">
        <f t="shared" si="33"/>
        <v>595.88719225342413</v>
      </c>
      <c r="DL34" s="222">
        <v>2117</v>
      </c>
      <c r="DM34" s="225">
        <f>IF($C34&gt;=Wirtschaftlichkeit!$R$8,Wirtschaftlichkeit!$R$8,IF(AND($C34&lt;=Wirtschaftlichkeit!$R$8,$C34&gt;=Wirtschaftlichkeit!$R$8*Eingabemaske!$B$18),$C34,"0"))</f>
        <v>17.998649999999998</v>
      </c>
      <c r="DN34" s="222">
        <v>2117</v>
      </c>
      <c r="DO34" s="224">
        <f t="shared" si="34"/>
        <v>1301.4348749999999</v>
      </c>
      <c r="DP34" s="222">
        <v>2117</v>
      </c>
      <c r="DQ34" s="226">
        <f t="shared" si="35"/>
        <v>17.998649999999998</v>
      </c>
      <c r="DR34" s="312">
        <v>2117</v>
      </c>
      <c r="DS34" s="286">
        <f>DM34*Wirtschaftlichkeit!$R$5/Wirtschaftlichkeit!$R$7</f>
        <v>8.3498498604104689</v>
      </c>
      <c r="DT34" s="284">
        <f t="shared" si="36"/>
        <v>603.75560441211246</v>
      </c>
      <c r="DV34" s="222">
        <v>2117</v>
      </c>
      <c r="DW34" s="225">
        <f>IF($C34&gt;=Wirtschaftlichkeit!$S$8,Wirtschaftlichkeit!$S$8,IF(AND($C34&lt;=Wirtschaftlichkeit!$S$8,$C34&gt;=Wirtschaftlichkeit!$S$8*Eingabemaske!$B$18),$C34,"0"))</f>
        <v>17.998649999999998</v>
      </c>
      <c r="DX34" s="222">
        <v>2117</v>
      </c>
      <c r="DY34" s="224">
        <f t="shared" si="37"/>
        <v>1301.4348749999999</v>
      </c>
      <c r="DZ34" s="222">
        <v>2117</v>
      </c>
      <c r="EA34" s="226">
        <f t="shared" si="38"/>
        <v>17.998649999999998</v>
      </c>
      <c r="EB34" s="312">
        <v>2117</v>
      </c>
      <c r="EC34" s="286">
        <f>DW34*Wirtschaftlichkeit!$S$5/Wirtschaftlichkeit!$S$7</f>
        <v>8.4516305633310171</v>
      </c>
      <c r="ED34" s="284">
        <f t="shared" si="39"/>
        <v>611.11509839542873</v>
      </c>
      <c r="EF34" s="222">
        <v>2117</v>
      </c>
      <c r="EG34" s="225">
        <f>IF($C34&gt;=Wirtschaftlichkeit!$T$8,Wirtschaftlichkeit!$T$8,IF(AND($C34&lt;=Wirtschaftlichkeit!$T$8,$C34&gt;=Wirtschaftlichkeit!$T$8*Eingabemaske!$B$18),$C34,"0"))</f>
        <v>17.998649999999998</v>
      </c>
      <c r="EH34" s="222">
        <v>2117</v>
      </c>
      <c r="EI34" s="224">
        <f t="shared" si="40"/>
        <v>1301.4348749999999</v>
      </c>
      <c r="EJ34" s="222">
        <v>2117</v>
      </c>
      <c r="EK34" s="226">
        <f t="shared" si="41"/>
        <v>17.998649999999998</v>
      </c>
      <c r="EL34" s="312">
        <v>2117</v>
      </c>
      <c r="EM34" s="286">
        <f>EG34*Wirtschaftlichkeit!$T$5/Wirtschaftlichkeit!$T$7</f>
        <v>8.5473291971587049</v>
      </c>
      <c r="EN34" s="284">
        <f t="shared" si="42"/>
        <v>618.03481401594513</v>
      </c>
      <c r="EP34" s="222">
        <v>2117</v>
      </c>
      <c r="EQ34" s="225">
        <f>IF($C34&gt;=Wirtschaftlichkeit!$U$8,Wirtschaftlichkeit!$U$8,IF(AND($C34&lt;=Wirtschaftlichkeit!$U$8,$C34&gt;=Wirtschaftlichkeit!$U$8*Eingabemaske!$B$18),$C34,"0"))</f>
        <v>17.998649999999998</v>
      </c>
      <c r="ER34" s="222">
        <v>2117</v>
      </c>
      <c r="ES34" s="224">
        <f t="shared" si="43"/>
        <v>1301.4348749999999</v>
      </c>
      <c r="ET34" s="222">
        <v>2117</v>
      </c>
      <c r="EU34" s="226">
        <f t="shared" si="44"/>
        <v>17.998649999999998</v>
      </c>
      <c r="EV34" s="312">
        <v>2117</v>
      </c>
      <c r="EW34" s="286">
        <f>EQ34*Wirtschaftlichkeit!$U$5/Wirtschaftlichkeit!$U$7</f>
        <v>8.6377142010879915</v>
      </c>
      <c r="EX34" s="284">
        <f t="shared" si="45"/>
        <v>624.57031508355772</v>
      </c>
      <c r="EZ34" s="222">
        <v>2117</v>
      </c>
      <c r="FA34" s="225">
        <f>IF($C34&gt;=Wirtschaftlichkeit!$V$8,Wirtschaftlichkeit!$V$8,IF(AND($C34&lt;=Wirtschaftlichkeit!$V$8,$C34&gt;=Wirtschaftlichkeit!$V$8*Eingabemaske!$B$18),$C34,"0"))</f>
        <v>17.998649999999998</v>
      </c>
      <c r="FB34" s="222">
        <v>2117</v>
      </c>
      <c r="FC34" s="224">
        <f t="shared" si="46"/>
        <v>1301.4348749999999</v>
      </c>
      <c r="FD34" s="222">
        <v>2117</v>
      </c>
      <c r="FE34" s="226">
        <f t="shared" si="47"/>
        <v>17.998649999999998</v>
      </c>
      <c r="FF34" s="312">
        <v>2117</v>
      </c>
      <c r="FG34" s="286">
        <f>FA34*Wirtschaftlichkeit!$V$5/Wirtschaftlichkeit!$V$7</f>
        <v>8.7234129878390689</v>
      </c>
      <c r="FH34" s="284">
        <f t="shared" si="48"/>
        <v>630.76696815604032</v>
      </c>
      <c r="FJ34" s="222">
        <v>2117</v>
      </c>
      <c r="FK34" s="225">
        <f>IF($C34&gt;=Wirtschaftlichkeit!$W$8,Wirtschaftlichkeit!$W$8,IF(AND($C34&lt;=Wirtschaftlichkeit!$W$8,$C34&gt;=Wirtschaftlichkeit!$W$8*Eingabemaske!$B$18),$C34,"0"))</f>
        <v>17.998649999999998</v>
      </c>
      <c r="FL34" s="222">
        <v>2117</v>
      </c>
      <c r="FM34" s="224">
        <f t="shared" si="49"/>
        <v>1301.4348749999999</v>
      </c>
      <c r="FN34" s="222">
        <v>2117</v>
      </c>
      <c r="FO34" s="226">
        <f t="shared" si="50"/>
        <v>17.998649999999998</v>
      </c>
      <c r="FP34" s="312">
        <v>2117</v>
      </c>
      <c r="FQ34" s="286">
        <f>FK34*Wirtschaftlichkeit!$W$5/Wirtschaftlichkeit!$W$7</f>
        <v>8.8049448888243749</v>
      </c>
      <c r="FR34" s="284">
        <f t="shared" si="51"/>
        <v>636.66232471707815</v>
      </c>
      <c r="FT34" s="222">
        <v>2117</v>
      </c>
      <c r="FU34" s="225" t="str">
        <f>IF($C34&gt;=Wirtschaftlichkeit!$X$8,Wirtschaftlichkeit!$X$8,IF(AND($C34&lt;=Wirtschaftlichkeit!$X$8,$C34&gt;=Wirtschaftlichkeit!$X$8*Eingabemaske!$B$18),$C34,"0"))</f>
        <v>0</v>
      </c>
      <c r="FV34" s="222">
        <v>2117</v>
      </c>
      <c r="FW34" s="224">
        <f t="shared" si="52"/>
        <v>0</v>
      </c>
      <c r="FX34" s="222">
        <v>2117</v>
      </c>
      <c r="FY34" s="226" t="str">
        <f t="shared" si="53"/>
        <v xml:space="preserve"> </v>
      </c>
      <c r="FZ34" s="312">
        <v>2117</v>
      </c>
      <c r="GA34" s="286">
        <f>FU34*Wirtschaftlichkeit!$X$5/Wirtschaftlichkeit!$X$7</f>
        <v>0</v>
      </c>
      <c r="GB34" s="284">
        <f t="shared" si="54"/>
        <v>0</v>
      </c>
      <c r="GD34" s="222">
        <v>2117</v>
      </c>
      <c r="GE34" s="225" t="str">
        <f>IF($C34&gt;=Wirtschaftlichkeit!$Y$8,Wirtschaftlichkeit!$Y$8,IF(AND($C34&lt;=Wirtschaftlichkeit!$Y$8,$C34&gt;=Wirtschaftlichkeit!$Y$8*Eingabemaske!$B$18),$C34,"0"))</f>
        <v>0</v>
      </c>
      <c r="GF34" s="222">
        <v>2117</v>
      </c>
      <c r="GG34" s="224">
        <f t="shared" si="55"/>
        <v>0</v>
      </c>
      <c r="GH34" s="222">
        <v>2117</v>
      </c>
      <c r="GI34" s="226" t="str">
        <f t="shared" si="56"/>
        <v xml:space="preserve"> </v>
      </c>
      <c r="GJ34" s="312">
        <v>2117</v>
      </c>
      <c r="GK34" s="286">
        <f>GE34*Wirtschaftlichkeit!$Y$5/Wirtschaftlichkeit!$Y$7</f>
        <v>0</v>
      </c>
      <c r="GL34" s="284">
        <f t="shared" si="57"/>
        <v>0</v>
      </c>
      <c r="GN34" s="222">
        <v>2117</v>
      </c>
      <c r="GO34" s="225" t="str">
        <f>IF($C34&gt;=Wirtschaftlichkeit!$Z$8,Wirtschaftlichkeit!$Z$8,IF(AND($C34&lt;=Wirtschaftlichkeit!$Z$8,$C34&gt;=Wirtschaftlichkeit!$Z$8*Eingabemaske!$B$18),$C34,"0"))</f>
        <v>0</v>
      </c>
      <c r="GP34" s="222">
        <v>2117</v>
      </c>
      <c r="GQ34" s="224">
        <f t="shared" si="58"/>
        <v>0</v>
      </c>
      <c r="GR34" s="222">
        <v>2117</v>
      </c>
      <c r="GS34" s="226" t="str">
        <f t="shared" si="59"/>
        <v xml:space="preserve"> </v>
      </c>
      <c r="GT34" s="312">
        <v>2117</v>
      </c>
      <c r="GU34" s="286">
        <f>GO34*Wirtschaftlichkeit!$Z$5/Wirtschaftlichkeit!$Z$7</f>
        <v>0</v>
      </c>
      <c r="GV34" s="284">
        <f t="shared" si="60"/>
        <v>0</v>
      </c>
      <c r="GW34" s="266"/>
      <c r="GX34" s="258">
        <v>2117</v>
      </c>
      <c r="GY34" s="270">
        <f>IF(Berechnung_Diagramme!$C$28=Berechnungen_Lastgang!$F$2,Berechnungen_Lastgang!G34,IF(Berechnung_Diagramme!$C$28=Berechnungen_Lastgang!$P$2,Berechnungen_Lastgang!Q34,IF(Berechnung_Diagramme!$C$28=Berechnungen_Lastgang!$Z$2,Berechnungen_Lastgang!AA34,IF(Berechnung_Diagramme!$C$28=Berechnungen_Lastgang!$AJ$2,Berechnungen_Lastgang!AK34,IF(Berechnung_Diagramme!$C$28=Berechnungen_Lastgang!$AT$2,Berechnungen_Lastgang!AU34,IF(Berechnung_Diagramme!$C$28=Berechnungen_Lastgang!$BD$2,Berechnungen_Lastgang!BE34,IF(Berechnung_Diagramme!$C$28=Berechnungen_Lastgang!$BN$2,Berechnungen_Lastgang!BO34,IF(Berechnung_Diagramme!$C$28=Berechnungen_Lastgang!$BX$2,Berechnungen_Lastgang!BY34,IF(Berechnung_Diagramme!$C$28=Berechnungen_Lastgang!$CH$2,Berechnungen_Lastgang!CI34,IF(Berechnung_Diagramme!$C$28=Berechnungen_Lastgang!$CR$2,Berechnungen_Lastgang!CS34,IF(Berechnung_Diagramme!$C$28=Berechnungen_Lastgang!$DB$2,Berechnungen_Lastgang!DC34,IF(Berechnung_Diagramme!$C$28=Berechnungen_Lastgang!$DL$2,Berechnungen_Lastgang!DM34,IF(Berechnung_Diagramme!$C$28=Berechnungen_Lastgang!$DV$2,Berechnungen_Lastgang!DW34,IF(Berechnung_Diagramme!$C$28=Berechnungen_Lastgang!$EF$2,Berechnungen_Lastgang!EG34,IF(Berechnung_Diagramme!$C$28=Berechnungen_Lastgang!$EP$2,Berechnungen_Lastgang!EQ34,IF(Berechnung_Diagramme!$C$28=Berechnungen_Lastgang!$EZ$2,Berechnungen_Lastgang!FA34,IF(Berechnung_Diagramme!$C$28=Berechnungen_Lastgang!$FJ$2,Berechnungen_Lastgang!FK34,IF(Berechnung_Diagramme!$C$28=Berechnungen_Lastgang!$FT$2,Berechnungen_Lastgang!FU34,IF(Berechnung_Diagramme!$C$28=Berechnungen_Lastgang!$GD$2,Berechnungen_Lastgang!GE34,IF(Berechnung_Diagramme!$C$28=Berechnungen_Lastgang!$GN$2,Berechnungen_Lastgang!GO34,""))))))))))))))))))))</f>
        <v>17.998649999999998</v>
      </c>
    </row>
    <row r="35" spans="2:207" ht="14.45" x14ac:dyDescent="0.3">
      <c r="B35" s="64">
        <v>2190</v>
      </c>
      <c r="C35" s="67">
        <f>LARGE(Berechnung_Diagramme!$AB$5:$AB$16,4)</f>
        <v>17.6571</v>
      </c>
      <c r="D35" s="66">
        <f t="shared" si="0"/>
        <v>1286.0216549999998</v>
      </c>
      <c r="F35" s="64">
        <v>2190</v>
      </c>
      <c r="G35" s="225">
        <f>IF($C35&gt;=Wirtschaftlichkeit!$G$8,Wirtschaftlichkeit!$G$8,IF(AND($C35&lt;=Wirtschaftlichkeit!$G$8,$C35&gt;=Wirtschaftlichkeit!$G$8*Eingabemaske!$B$18),$C35,"0"))</f>
        <v>2.8333333333333335</v>
      </c>
      <c r="H35" s="64">
        <v>2190</v>
      </c>
      <c r="I35" s="66">
        <f t="shared" si="1"/>
        <v>206.83333333333334</v>
      </c>
      <c r="J35" s="64">
        <v>2190</v>
      </c>
      <c r="K35" s="71">
        <f t="shared" si="2"/>
        <v>2.8333333333333335</v>
      </c>
      <c r="L35" s="312">
        <v>2190</v>
      </c>
      <c r="M35" s="286">
        <f>G35*Wirtschaftlichkeit!$G$5/Wirtschaftlichkeit!$G$7</f>
        <v>1</v>
      </c>
      <c r="N35" s="284">
        <f t="shared" si="3"/>
        <v>73</v>
      </c>
      <c r="P35" s="222">
        <v>2190</v>
      </c>
      <c r="Q35" s="225">
        <f>IF($C35&gt;=Wirtschaftlichkeit!$H$8,Wirtschaftlichkeit!$H$8,IF(AND($C35&lt;=Wirtschaftlichkeit!$H$8,$C35&gt;=Wirtschaftlichkeit!$H$8*Eingabemaske!$B$18),$C35,"0"))</f>
        <v>5.5876288659793811</v>
      </c>
      <c r="R35" s="222">
        <v>2190</v>
      </c>
      <c r="S35" s="224">
        <f t="shared" si="4"/>
        <v>407.89690721649481</v>
      </c>
      <c r="T35" s="222">
        <v>2190</v>
      </c>
      <c r="U35" s="226">
        <f t="shared" si="5"/>
        <v>5.5876288659793811</v>
      </c>
      <c r="V35" s="312">
        <v>2190</v>
      </c>
      <c r="W35" s="286">
        <f>Q35*Wirtschaftlichkeit!$H$5/Wirtschaftlichkeit!$H$7</f>
        <v>2</v>
      </c>
      <c r="X35" s="284">
        <f t="shared" si="6"/>
        <v>146</v>
      </c>
      <c r="Z35" s="222">
        <v>2190</v>
      </c>
      <c r="AA35" s="225">
        <f>IF($C35&gt;=Wirtschaftlichkeit!$I$8,Wirtschaftlichkeit!$I$8,IF(AND($C35&lt;=Wirtschaftlichkeit!$I$8,$C35&gt;=Wirtschaftlichkeit!$I$8*Eingabemaske!$B$18),$C35,"0"))</f>
        <v>8.2471643149712612</v>
      </c>
      <c r="AB35" s="222">
        <v>2190</v>
      </c>
      <c r="AC35" s="224">
        <f t="shared" si="7"/>
        <v>602.04299499290209</v>
      </c>
      <c r="AD35" s="222">
        <v>2190</v>
      </c>
      <c r="AE35" s="226">
        <f t="shared" si="8"/>
        <v>8.2471643149712612</v>
      </c>
      <c r="AF35" s="312">
        <v>2190</v>
      </c>
      <c r="AG35" s="286">
        <f>AA35*Wirtschaftlichkeit!$I$5/Wirtschaftlichkeit!$I$7</f>
        <v>3.0000000000000004</v>
      </c>
      <c r="AH35" s="284">
        <f t="shared" si="9"/>
        <v>219.00000000000003</v>
      </c>
      <c r="AJ35" s="222">
        <v>2190</v>
      </c>
      <c r="AK35" s="225">
        <f>IF($C35&gt;=Wirtschaftlichkeit!$J$8,Wirtschaftlichkeit!$J$8,IF(AND($C35&lt;=Wirtschaftlichkeit!$J$8,$C35&gt;=Wirtschaftlichkeit!$J$8*Eingabemaske!$B$18),$C35,"0"))</f>
        <v>10.537455322965799</v>
      </c>
      <c r="AL35" s="222">
        <v>2190</v>
      </c>
      <c r="AM35" s="224">
        <f t="shared" si="10"/>
        <v>769.23423857650334</v>
      </c>
      <c r="AN35" s="222">
        <v>2190</v>
      </c>
      <c r="AO35" s="226">
        <f t="shared" si="11"/>
        <v>10.537455322965799</v>
      </c>
      <c r="AP35" s="312">
        <v>2190</v>
      </c>
      <c r="AQ35" s="286">
        <f>AK35*Wirtschaftlichkeit!$J$5/Wirtschaftlichkeit!$J$7</f>
        <v>4</v>
      </c>
      <c r="AR35" s="284">
        <f t="shared" si="12"/>
        <v>292</v>
      </c>
      <c r="AT35" s="222">
        <v>2190</v>
      </c>
      <c r="AU35" s="225">
        <f>IF($C35&gt;=Wirtschaftlichkeit!$K$8,Wirtschaftlichkeit!$K$8,IF(AND($C35&lt;=Wirtschaftlichkeit!$K$8,$C35&gt;=Wirtschaftlichkeit!$K$8*Eingabemaske!$B$18),$C35,"0"))</f>
        <v>12.739122166763016</v>
      </c>
      <c r="AV35" s="222">
        <v>2190</v>
      </c>
      <c r="AW35" s="224">
        <f t="shared" si="13"/>
        <v>929.95591817370018</v>
      </c>
      <c r="AX35" s="222">
        <v>2190</v>
      </c>
      <c r="AY35" s="226">
        <f t="shared" si="14"/>
        <v>12.739122166763016</v>
      </c>
      <c r="AZ35" s="312">
        <v>2190</v>
      </c>
      <c r="BA35" s="286">
        <f>AU35*Wirtschaftlichkeit!$K$5/Wirtschaftlichkeit!$K$7</f>
        <v>5</v>
      </c>
      <c r="BB35" s="284">
        <f t="shared" si="15"/>
        <v>365</v>
      </c>
      <c r="BD35" s="222">
        <v>2190</v>
      </c>
      <c r="BE35" s="225">
        <f>IF($C35&gt;=Wirtschaftlichkeit!$L$8,Wirtschaftlichkeit!$L$8,IF(AND($C35&lt;=Wirtschaftlichkeit!$L$8,$C35&gt;=Wirtschaftlichkeit!$L$8*Eingabemaske!$B$18),$C35,"0"))</f>
        <v>14.87189090675227</v>
      </c>
      <c r="BF35" s="222">
        <v>2190</v>
      </c>
      <c r="BG35" s="224">
        <f t="shared" si="16"/>
        <v>1085.6480361929157</v>
      </c>
      <c r="BH35" s="222">
        <v>2190</v>
      </c>
      <c r="BI35" s="226">
        <f t="shared" si="17"/>
        <v>14.87189090675227</v>
      </c>
      <c r="BJ35" s="312">
        <v>2190</v>
      </c>
      <c r="BK35" s="286">
        <f>BE35*Wirtschaftlichkeit!$L$5/Wirtschaftlichkeit!$L$7</f>
        <v>6</v>
      </c>
      <c r="BL35" s="284">
        <f t="shared" si="18"/>
        <v>438</v>
      </c>
      <c r="BN35" s="222">
        <v>2190</v>
      </c>
      <c r="BO35" s="225">
        <f>IF($C35&gt;=Wirtschaftlichkeit!$M$8,Wirtschaftlichkeit!$M$8,IF(AND($C35&lt;=Wirtschaftlichkeit!$M$8,$C35&gt;=Wirtschaftlichkeit!$M$8*Eingabemaske!$B$18),$C35,"0"))</f>
        <v>16.948500863015312</v>
      </c>
      <c r="BP35" s="222">
        <v>2190</v>
      </c>
      <c r="BQ35" s="224">
        <f t="shared" si="19"/>
        <v>1237.2405630001178</v>
      </c>
      <c r="BR35" s="222">
        <v>2190</v>
      </c>
      <c r="BS35" s="226">
        <f t="shared" si="20"/>
        <v>16.948500863015312</v>
      </c>
      <c r="BT35" s="312">
        <v>2190</v>
      </c>
      <c r="BU35" s="286">
        <f>BO35*Wirtschaftlichkeit!$M$5/Wirtschaftlichkeit!$M$7</f>
        <v>7</v>
      </c>
      <c r="BV35" s="284">
        <f t="shared" si="21"/>
        <v>511</v>
      </c>
      <c r="BX35" s="222">
        <v>2190</v>
      </c>
      <c r="BY35" s="225">
        <f>IF($C35&gt;=Wirtschaftlichkeit!$N$8,Wirtschaftlichkeit!$N$8,IF(AND($C35&lt;=Wirtschaftlichkeit!$N$8,$C35&gt;=Wirtschaftlichkeit!$N$8*Eingabemaske!$B$18),$C35,"0"))</f>
        <v>17.6571</v>
      </c>
      <c r="BZ35" s="222">
        <v>2190</v>
      </c>
      <c r="CA35" s="224">
        <f t="shared" si="22"/>
        <v>1286.0216549999998</v>
      </c>
      <c r="CB35" s="222">
        <v>2190</v>
      </c>
      <c r="CC35" s="226">
        <f t="shared" si="23"/>
        <v>17.6571</v>
      </c>
      <c r="CD35" s="312">
        <v>2190</v>
      </c>
      <c r="CE35" s="286">
        <f>BY35*Wirtschaftlichkeit!$N$5/Wirtschaftlichkeit!$N$7</f>
        <v>7.4432502206148117</v>
      </c>
      <c r="CF35" s="284">
        <f t="shared" si="24"/>
        <v>542.1151246407494</v>
      </c>
      <c r="CH35" s="222">
        <v>2190</v>
      </c>
      <c r="CI35" s="225">
        <f>IF($C35&gt;=Wirtschaftlichkeit!$O$8,Wirtschaftlichkeit!$O$8,IF(AND($C35&lt;=Wirtschaftlichkeit!$O$8,$C35&gt;=Wirtschaftlichkeit!$O$8*Eingabemaske!$B$18),$C35,"0"))</f>
        <v>17.6571</v>
      </c>
      <c r="CJ35" s="222">
        <v>2190</v>
      </c>
      <c r="CK35" s="224">
        <f t="shared" si="25"/>
        <v>1286.0216549999998</v>
      </c>
      <c r="CL35" s="222">
        <v>2190</v>
      </c>
      <c r="CM35" s="226">
        <f t="shared" si="26"/>
        <v>17.6571</v>
      </c>
      <c r="CN35" s="312">
        <v>2190</v>
      </c>
      <c r="CO35" s="286">
        <f>CI35*Wirtschaftlichkeit!$O$5/Wirtschaftlichkeit!$O$7</f>
        <v>7.579440063300253</v>
      </c>
      <c r="CP35" s="284">
        <f t="shared" si="27"/>
        <v>552.03425557870185</v>
      </c>
      <c r="CR35" s="222">
        <v>2190</v>
      </c>
      <c r="CS35" s="225">
        <f>IF($C35&gt;=Wirtschaftlichkeit!$P$8,Wirtschaftlichkeit!$P$8,IF(AND($C35&lt;=Wirtschaftlichkeit!$P$8,$C35&gt;=Wirtschaftlichkeit!$P$8*Eingabemaske!$B$18),$C35,"0"))</f>
        <v>17.6571</v>
      </c>
      <c r="CT35" s="222">
        <v>2190</v>
      </c>
      <c r="CU35" s="224">
        <f t="shared" si="28"/>
        <v>1286.0216549999998</v>
      </c>
      <c r="CV35" s="222">
        <v>2190</v>
      </c>
      <c r="CW35" s="226">
        <f t="shared" si="29"/>
        <v>17.6571</v>
      </c>
      <c r="CX35" s="312">
        <v>2190</v>
      </c>
      <c r="CY35" s="286">
        <f>CS35*Wirtschaftlichkeit!$P$5/Wirtschaftlichkeit!$P$7</f>
        <v>7.7040237360533483</v>
      </c>
      <c r="CZ35" s="284">
        <f t="shared" si="30"/>
        <v>561.10807296773589</v>
      </c>
      <c r="DB35" s="222">
        <v>2190</v>
      </c>
      <c r="DC35" s="225">
        <f>IF($C35&gt;=Wirtschaftlichkeit!$Q$8,Wirtschaftlichkeit!$Q$8,IF(AND($C35&lt;=Wirtschaftlichkeit!$Q$8,$C35&gt;=Wirtschaftlichkeit!$Q$8*Eingabemaske!$B$18),$C35,"0"))</f>
        <v>17.6571</v>
      </c>
      <c r="DD35" s="222">
        <v>2190</v>
      </c>
      <c r="DE35" s="224">
        <f t="shared" si="31"/>
        <v>1286.0216549999998</v>
      </c>
      <c r="DF35" s="222">
        <v>2190</v>
      </c>
      <c r="DG35" s="226">
        <f t="shared" si="32"/>
        <v>17.6571</v>
      </c>
      <c r="DH35" s="312">
        <v>2190</v>
      </c>
      <c r="DI35" s="286">
        <f>DC35*Wirtschaftlichkeit!$Q$5/Wirtschaftlichkeit!$Q$7</f>
        <v>8.0846456049811444</v>
      </c>
      <c r="DJ35" s="284">
        <f t="shared" si="33"/>
        <v>588.82995061512531</v>
      </c>
      <c r="DL35" s="222">
        <v>2190</v>
      </c>
      <c r="DM35" s="225">
        <f>IF($C35&gt;=Wirtschaftlichkeit!$R$8,Wirtschaftlichkeit!$R$8,IF(AND($C35&lt;=Wirtschaftlichkeit!$R$8,$C35&gt;=Wirtschaftlichkeit!$R$8*Eingabemaske!$B$18),$C35,"0"))</f>
        <v>17.6571</v>
      </c>
      <c r="DN35" s="222">
        <v>2190</v>
      </c>
      <c r="DO35" s="224">
        <f t="shared" si="34"/>
        <v>1286.0216549999998</v>
      </c>
      <c r="DP35" s="222">
        <v>2190</v>
      </c>
      <c r="DQ35" s="226">
        <f t="shared" si="35"/>
        <v>17.6571</v>
      </c>
      <c r="DR35" s="312">
        <v>2190</v>
      </c>
      <c r="DS35" s="286">
        <f>DM35*Wirtschaftlichkeit!$R$5/Wirtschaftlichkeit!$R$7</f>
        <v>8.1913995755378171</v>
      </c>
      <c r="DT35" s="284">
        <f t="shared" si="36"/>
        <v>596.60517519295013</v>
      </c>
      <c r="DV35" s="222">
        <v>2190</v>
      </c>
      <c r="DW35" s="225">
        <f>IF($C35&gt;=Wirtschaftlichkeit!$S$8,Wirtschaftlichkeit!$S$8,IF(AND($C35&lt;=Wirtschaftlichkeit!$S$8,$C35&gt;=Wirtschaftlichkeit!$S$8*Eingabemaske!$B$18),$C35,"0"))</f>
        <v>17.6571</v>
      </c>
      <c r="DX35" s="222">
        <v>2190</v>
      </c>
      <c r="DY35" s="224">
        <f t="shared" si="37"/>
        <v>1286.0216549999998</v>
      </c>
      <c r="DZ35" s="222">
        <v>2190</v>
      </c>
      <c r="EA35" s="226">
        <f t="shared" si="38"/>
        <v>17.6571</v>
      </c>
      <c r="EB35" s="312">
        <v>2190</v>
      </c>
      <c r="EC35" s="286">
        <f>DW35*Wirtschaftlichkeit!$S$5/Wirtschaftlichkeit!$S$7</f>
        <v>8.2912488447629205</v>
      </c>
      <c r="ED35" s="284">
        <f t="shared" si="39"/>
        <v>603.87750884113746</v>
      </c>
      <c r="EF35" s="222">
        <v>2190</v>
      </c>
      <c r="EG35" s="225">
        <f>IF($C35&gt;=Wirtschaftlichkeit!$T$8,Wirtschaftlichkeit!$T$8,IF(AND($C35&lt;=Wirtschaftlichkeit!$T$8,$C35&gt;=Wirtschaftlichkeit!$T$8*Eingabemaske!$B$18),$C35,"0"))</f>
        <v>17.6571</v>
      </c>
      <c r="EH35" s="222">
        <v>2190</v>
      </c>
      <c r="EI35" s="224">
        <f t="shared" si="40"/>
        <v>1286.0216549999998</v>
      </c>
      <c r="EJ35" s="222">
        <v>2190</v>
      </c>
      <c r="EK35" s="226">
        <f t="shared" si="41"/>
        <v>17.6571</v>
      </c>
      <c r="EL35" s="312">
        <v>2190</v>
      </c>
      <c r="EM35" s="286">
        <f>EG35*Wirtschaftlichkeit!$T$5/Wirtschaftlichkeit!$T$7</f>
        <v>8.3851314608123939</v>
      </c>
      <c r="EN35" s="284">
        <f t="shared" si="42"/>
        <v>610.71527253209888</v>
      </c>
      <c r="EP35" s="222">
        <v>2190</v>
      </c>
      <c r="EQ35" s="225">
        <f>IF($C35&gt;=Wirtschaftlichkeit!$U$8,Wirtschaftlichkeit!$U$8,IF(AND($C35&lt;=Wirtschaftlichkeit!$U$8,$C35&gt;=Wirtschaftlichkeit!$U$8*Eingabemaske!$B$18),$C35,"0"))</f>
        <v>17.6571</v>
      </c>
      <c r="ER35" s="222">
        <v>2190</v>
      </c>
      <c r="ES35" s="224">
        <f t="shared" si="43"/>
        <v>1286.0216549999998</v>
      </c>
      <c r="ET35" s="222">
        <v>2190</v>
      </c>
      <c r="EU35" s="226">
        <f t="shared" si="44"/>
        <v>17.6571</v>
      </c>
      <c r="EV35" s="312">
        <v>2190</v>
      </c>
      <c r="EW35" s="286">
        <f>EQ35*Wirtschaftlichkeit!$U$5/Wirtschaftlichkeit!$U$7</f>
        <v>8.4738012806533138</v>
      </c>
      <c r="EX35" s="284">
        <f t="shared" si="45"/>
        <v>617.17337201957832</v>
      </c>
      <c r="EZ35" s="222">
        <v>2190</v>
      </c>
      <c r="FA35" s="225">
        <f>IF($C35&gt;=Wirtschaftlichkeit!$V$8,Wirtschaftlichkeit!$V$8,IF(AND($C35&lt;=Wirtschaftlichkeit!$V$8,$C35&gt;=Wirtschaftlichkeit!$V$8*Eingabemaske!$B$18),$C35,"0"))</f>
        <v>17.6571</v>
      </c>
      <c r="FB35" s="222">
        <v>2190</v>
      </c>
      <c r="FC35" s="224">
        <f t="shared" si="46"/>
        <v>1286.0216549999998</v>
      </c>
      <c r="FD35" s="222">
        <v>2190</v>
      </c>
      <c r="FE35" s="226">
        <f t="shared" si="47"/>
        <v>17.6571</v>
      </c>
      <c r="FF35" s="312">
        <v>2190</v>
      </c>
      <c r="FG35" s="286">
        <f>FA35*Wirtschaftlichkeit!$V$5/Wirtschaftlichkeit!$V$7</f>
        <v>8.5578738109565577</v>
      </c>
      <c r="FH35" s="284">
        <f t="shared" si="48"/>
        <v>623.29663657381502</v>
      </c>
      <c r="FJ35" s="222">
        <v>2190</v>
      </c>
      <c r="FK35" s="225">
        <f>IF($C35&gt;=Wirtschaftlichkeit!$W$8,Wirtschaftlichkeit!$W$8,IF(AND($C35&lt;=Wirtschaftlichkeit!$W$8,$C35&gt;=Wirtschaftlichkeit!$W$8*Eingabemaske!$B$18),$C35,"0"))</f>
        <v>17.6571</v>
      </c>
      <c r="FL35" s="222">
        <v>2190</v>
      </c>
      <c r="FM35" s="224">
        <f t="shared" si="49"/>
        <v>1286.0216549999998</v>
      </c>
      <c r="FN35" s="222">
        <v>2190</v>
      </c>
      <c r="FO35" s="226">
        <f t="shared" si="50"/>
        <v>17.6571</v>
      </c>
      <c r="FP35" s="312">
        <v>2190</v>
      </c>
      <c r="FQ35" s="286">
        <f>FK35*Wirtschaftlichkeit!$W$5/Wirtschaftlichkeit!$W$7</f>
        <v>8.6378585280818783</v>
      </c>
      <c r="FR35" s="284">
        <f t="shared" si="51"/>
        <v>629.1221729468441</v>
      </c>
      <c r="FT35" s="222">
        <v>2190</v>
      </c>
      <c r="FU35" s="225" t="str">
        <f>IF($C35&gt;=Wirtschaftlichkeit!$X$8,Wirtschaftlichkeit!$X$8,IF(AND($C35&lt;=Wirtschaftlichkeit!$X$8,$C35&gt;=Wirtschaftlichkeit!$X$8*Eingabemaske!$B$18),$C35,"0"))</f>
        <v>0</v>
      </c>
      <c r="FV35" s="222">
        <v>2190</v>
      </c>
      <c r="FW35" s="224">
        <f t="shared" si="52"/>
        <v>0</v>
      </c>
      <c r="FX35" s="222">
        <v>2190</v>
      </c>
      <c r="FY35" s="226" t="str">
        <f t="shared" si="53"/>
        <v xml:space="preserve"> </v>
      </c>
      <c r="FZ35" s="312">
        <v>2190</v>
      </c>
      <c r="GA35" s="286">
        <f>FU35*Wirtschaftlichkeit!$X$5/Wirtschaftlichkeit!$X$7</f>
        <v>0</v>
      </c>
      <c r="GB35" s="284">
        <f t="shared" si="54"/>
        <v>0</v>
      </c>
      <c r="GD35" s="222">
        <v>2190</v>
      </c>
      <c r="GE35" s="225" t="str">
        <f>IF($C35&gt;=Wirtschaftlichkeit!$Y$8,Wirtschaftlichkeit!$Y$8,IF(AND($C35&lt;=Wirtschaftlichkeit!$Y$8,$C35&gt;=Wirtschaftlichkeit!$Y$8*Eingabemaske!$B$18),$C35,"0"))</f>
        <v>0</v>
      </c>
      <c r="GF35" s="222">
        <v>2190</v>
      </c>
      <c r="GG35" s="224">
        <f t="shared" si="55"/>
        <v>0</v>
      </c>
      <c r="GH35" s="222">
        <v>2190</v>
      </c>
      <c r="GI35" s="226" t="str">
        <f t="shared" si="56"/>
        <v xml:space="preserve"> </v>
      </c>
      <c r="GJ35" s="312">
        <v>2190</v>
      </c>
      <c r="GK35" s="286">
        <f>GE35*Wirtschaftlichkeit!$Y$5/Wirtschaftlichkeit!$Y$7</f>
        <v>0</v>
      </c>
      <c r="GL35" s="284">
        <f t="shared" si="57"/>
        <v>0</v>
      </c>
      <c r="GN35" s="222">
        <v>2190</v>
      </c>
      <c r="GO35" s="225" t="str">
        <f>IF($C35&gt;=Wirtschaftlichkeit!$Z$8,Wirtschaftlichkeit!$Z$8,IF(AND($C35&lt;=Wirtschaftlichkeit!$Z$8,$C35&gt;=Wirtschaftlichkeit!$Z$8*Eingabemaske!$B$18),$C35,"0"))</f>
        <v>0</v>
      </c>
      <c r="GP35" s="222">
        <v>2190</v>
      </c>
      <c r="GQ35" s="224">
        <f t="shared" si="58"/>
        <v>0</v>
      </c>
      <c r="GR35" s="222">
        <v>2190</v>
      </c>
      <c r="GS35" s="226" t="str">
        <f t="shared" si="59"/>
        <v xml:space="preserve"> </v>
      </c>
      <c r="GT35" s="312">
        <v>2190</v>
      </c>
      <c r="GU35" s="286">
        <f>GO35*Wirtschaftlichkeit!$Z$5/Wirtschaftlichkeit!$Z$7</f>
        <v>0</v>
      </c>
      <c r="GV35" s="284">
        <f t="shared" si="60"/>
        <v>0</v>
      </c>
      <c r="GW35" s="266"/>
      <c r="GX35" s="258">
        <v>2190</v>
      </c>
      <c r="GY35" s="270">
        <f>IF(Berechnung_Diagramme!$C$28=Berechnungen_Lastgang!$F$2,Berechnungen_Lastgang!G35,IF(Berechnung_Diagramme!$C$28=Berechnungen_Lastgang!$P$2,Berechnungen_Lastgang!Q35,IF(Berechnung_Diagramme!$C$28=Berechnungen_Lastgang!$Z$2,Berechnungen_Lastgang!AA35,IF(Berechnung_Diagramme!$C$28=Berechnungen_Lastgang!$AJ$2,Berechnungen_Lastgang!AK35,IF(Berechnung_Diagramme!$C$28=Berechnungen_Lastgang!$AT$2,Berechnungen_Lastgang!AU35,IF(Berechnung_Diagramme!$C$28=Berechnungen_Lastgang!$BD$2,Berechnungen_Lastgang!BE35,IF(Berechnung_Diagramme!$C$28=Berechnungen_Lastgang!$BN$2,Berechnungen_Lastgang!BO35,IF(Berechnung_Diagramme!$C$28=Berechnungen_Lastgang!$BX$2,Berechnungen_Lastgang!BY35,IF(Berechnung_Diagramme!$C$28=Berechnungen_Lastgang!$CH$2,Berechnungen_Lastgang!CI35,IF(Berechnung_Diagramme!$C$28=Berechnungen_Lastgang!$CR$2,Berechnungen_Lastgang!CS35,IF(Berechnung_Diagramme!$C$28=Berechnungen_Lastgang!$DB$2,Berechnungen_Lastgang!DC35,IF(Berechnung_Diagramme!$C$28=Berechnungen_Lastgang!$DL$2,Berechnungen_Lastgang!DM35,IF(Berechnung_Diagramme!$C$28=Berechnungen_Lastgang!$DV$2,Berechnungen_Lastgang!DW35,IF(Berechnung_Diagramme!$C$28=Berechnungen_Lastgang!$EF$2,Berechnungen_Lastgang!EG35,IF(Berechnung_Diagramme!$C$28=Berechnungen_Lastgang!$EP$2,Berechnungen_Lastgang!EQ35,IF(Berechnung_Diagramme!$C$28=Berechnungen_Lastgang!$EZ$2,Berechnungen_Lastgang!FA35,IF(Berechnung_Diagramme!$C$28=Berechnungen_Lastgang!$FJ$2,Berechnungen_Lastgang!FK35,IF(Berechnung_Diagramme!$C$28=Berechnungen_Lastgang!$FT$2,Berechnungen_Lastgang!FU35,IF(Berechnung_Diagramme!$C$28=Berechnungen_Lastgang!$GD$2,Berechnungen_Lastgang!GE35,IF(Berechnung_Diagramme!$C$28=Berechnungen_Lastgang!$GN$2,Berechnungen_Lastgang!GO35,""))))))))))))))))))))</f>
        <v>17.6571</v>
      </c>
    </row>
    <row r="36" spans="2:207" ht="14.45" x14ac:dyDescent="0.3">
      <c r="B36" s="64">
        <v>2263</v>
      </c>
      <c r="C36" s="67">
        <f>C35+((C40-C35)/(B40-B35))*(B36-B35)</f>
        <v>17.576370000000001</v>
      </c>
      <c r="D36" s="66">
        <f t="shared" si="0"/>
        <v>1280.1283650000003</v>
      </c>
      <c r="F36" s="64">
        <v>2263</v>
      </c>
      <c r="G36" s="225">
        <f>IF($C36&gt;=Wirtschaftlichkeit!$G$8,Wirtschaftlichkeit!$G$8,IF(AND($C36&lt;=Wirtschaftlichkeit!$G$8,$C36&gt;=Wirtschaftlichkeit!$G$8*Eingabemaske!$B$18),$C36,"0"))</f>
        <v>2.8333333333333335</v>
      </c>
      <c r="H36" s="64">
        <v>2263</v>
      </c>
      <c r="I36" s="66">
        <f t="shared" si="1"/>
        <v>206.83333333333334</v>
      </c>
      <c r="J36" s="64">
        <v>2263</v>
      </c>
      <c r="K36" s="71">
        <f t="shared" si="2"/>
        <v>2.8333333333333335</v>
      </c>
      <c r="L36" s="312">
        <v>2263</v>
      </c>
      <c r="M36" s="286">
        <f>G36*Wirtschaftlichkeit!$G$5/Wirtschaftlichkeit!$G$7</f>
        <v>1</v>
      </c>
      <c r="N36" s="284">
        <f t="shared" si="3"/>
        <v>73</v>
      </c>
      <c r="P36" s="222">
        <v>2263</v>
      </c>
      <c r="Q36" s="225">
        <f>IF($C36&gt;=Wirtschaftlichkeit!$H$8,Wirtschaftlichkeit!$H$8,IF(AND($C36&lt;=Wirtschaftlichkeit!$H$8,$C36&gt;=Wirtschaftlichkeit!$H$8*Eingabemaske!$B$18),$C36,"0"))</f>
        <v>5.5876288659793811</v>
      </c>
      <c r="R36" s="222">
        <v>2263</v>
      </c>
      <c r="S36" s="224">
        <f t="shared" si="4"/>
        <v>407.89690721649481</v>
      </c>
      <c r="T36" s="222">
        <v>2263</v>
      </c>
      <c r="U36" s="226">
        <f t="shared" si="5"/>
        <v>5.5876288659793811</v>
      </c>
      <c r="V36" s="312">
        <v>2263</v>
      </c>
      <c r="W36" s="286">
        <f>Q36*Wirtschaftlichkeit!$H$5/Wirtschaftlichkeit!$H$7</f>
        <v>2</v>
      </c>
      <c r="X36" s="284">
        <f t="shared" si="6"/>
        <v>146</v>
      </c>
      <c r="Z36" s="222">
        <v>2263</v>
      </c>
      <c r="AA36" s="225">
        <f>IF($C36&gt;=Wirtschaftlichkeit!$I$8,Wirtschaftlichkeit!$I$8,IF(AND($C36&lt;=Wirtschaftlichkeit!$I$8,$C36&gt;=Wirtschaftlichkeit!$I$8*Eingabemaske!$B$18),$C36,"0"))</f>
        <v>8.2471643149712612</v>
      </c>
      <c r="AB36" s="222">
        <v>2263</v>
      </c>
      <c r="AC36" s="224">
        <f t="shared" si="7"/>
        <v>602.04299499290209</v>
      </c>
      <c r="AD36" s="222">
        <v>2263</v>
      </c>
      <c r="AE36" s="226">
        <f t="shared" si="8"/>
        <v>8.2471643149712612</v>
      </c>
      <c r="AF36" s="312">
        <v>2263</v>
      </c>
      <c r="AG36" s="286">
        <f>AA36*Wirtschaftlichkeit!$I$5/Wirtschaftlichkeit!$I$7</f>
        <v>3.0000000000000004</v>
      </c>
      <c r="AH36" s="284">
        <f t="shared" si="9"/>
        <v>219.00000000000003</v>
      </c>
      <c r="AJ36" s="222">
        <v>2263</v>
      </c>
      <c r="AK36" s="225">
        <f>IF($C36&gt;=Wirtschaftlichkeit!$J$8,Wirtschaftlichkeit!$J$8,IF(AND($C36&lt;=Wirtschaftlichkeit!$J$8,$C36&gt;=Wirtschaftlichkeit!$J$8*Eingabemaske!$B$18),$C36,"0"))</f>
        <v>10.537455322965799</v>
      </c>
      <c r="AL36" s="222">
        <v>2263</v>
      </c>
      <c r="AM36" s="224">
        <f t="shared" si="10"/>
        <v>769.23423857650334</v>
      </c>
      <c r="AN36" s="222">
        <v>2263</v>
      </c>
      <c r="AO36" s="226">
        <f t="shared" si="11"/>
        <v>10.537455322965799</v>
      </c>
      <c r="AP36" s="312">
        <v>2263</v>
      </c>
      <c r="AQ36" s="286">
        <f>AK36*Wirtschaftlichkeit!$J$5/Wirtschaftlichkeit!$J$7</f>
        <v>4</v>
      </c>
      <c r="AR36" s="284">
        <f t="shared" si="12"/>
        <v>292</v>
      </c>
      <c r="AT36" s="222">
        <v>2263</v>
      </c>
      <c r="AU36" s="225">
        <f>IF($C36&gt;=Wirtschaftlichkeit!$K$8,Wirtschaftlichkeit!$K$8,IF(AND($C36&lt;=Wirtschaftlichkeit!$K$8,$C36&gt;=Wirtschaftlichkeit!$K$8*Eingabemaske!$B$18),$C36,"0"))</f>
        <v>12.739122166763016</v>
      </c>
      <c r="AV36" s="222">
        <v>2263</v>
      </c>
      <c r="AW36" s="224">
        <f t="shared" si="13"/>
        <v>929.95591817370018</v>
      </c>
      <c r="AX36" s="222">
        <v>2263</v>
      </c>
      <c r="AY36" s="226">
        <f t="shared" si="14"/>
        <v>12.739122166763016</v>
      </c>
      <c r="AZ36" s="312">
        <v>2263</v>
      </c>
      <c r="BA36" s="286">
        <f>AU36*Wirtschaftlichkeit!$K$5/Wirtschaftlichkeit!$K$7</f>
        <v>5</v>
      </c>
      <c r="BB36" s="284">
        <f t="shared" si="15"/>
        <v>365</v>
      </c>
      <c r="BD36" s="222">
        <v>2263</v>
      </c>
      <c r="BE36" s="225">
        <f>IF($C36&gt;=Wirtschaftlichkeit!$L$8,Wirtschaftlichkeit!$L$8,IF(AND($C36&lt;=Wirtschaftlichkeit!$L$8,$C36&gt;=Wirtschaftlichkeit!$L$8*Eingabemaske!$B$18),$C36,"0"))</f>
        <v>14.87189090675227</v>
      </c>
      <c r="BF36" s="222">
        <v>2263</v>
      </c>
      <c r="BG36" s="224">
        <f t="shared" si="16"/>
        <v>1085.6480361929157</v>
      </c>
      <c r="BH36" s="222">
        <v>2263</v>
      </c>
      <c r="BI36" s="226">
        <f t="shared" si="17"/>
        <v>14.87189090675227</v>
      </c>
      <c r="BJ36" s="312">
        <v>2263</v>
      </c>
      <c r="BK36" s="286">
        <f>BE36*Wirtschaftlichkeit!$L$5/Wirtschaftlichkeit!$L$7</f>
        <v>6</v>
      </c>
      <c r="BL36" s="284">
        <f t="shared" si="18"/>
        <v>438</v>
      </c>
      <c r="BN36" s="222">
        <v>2263</v>
      </c>
      <c r="BO36" s="225">
        <f>IF($C36&gt;=Wirtschaftlichkeit!$M$8,Wirtschaftlichkeit!$M$8,IF(AND($C36&lt;=Wirtschaftlichkeit!$M$8,$C36&gt;=Wirtschaftlichkeit!$M$8*Eingabemaske!$B$18),$C36,"0"))</f>
        <v>16.948500863015312</v>
      </c>
      <c r="BP36" s="222">
        <v>2263</v>
      </c>
      <c r="BQ36" s="224">
        <f t="shared" si="19"/>
        <v>1237.2405630001178</v>
      </c>
      <c r="BR36" s="222">
        <v>2263</v>
      </c>
      <c r="BS36" s="226">
        <f t="shared" si="20"/>
        <v>16.948500863015312</v>
      </c>
      <c r="BT36" s="312">
        <v>2263</v>
      </c>
      <c r="BU36" s="286">
        <f>BO36*Wirtschaftlichkeit!$M$5/Wirtschaftlichkeit!$M$7</f>
        <v>7</v>
      </c>
      <c r="BV36" s="284">
        <f t="shared" si="21"/>
        <v>511</v>
      </c>
      <c r="BX36" s="222">
        <v>2263</v>
      </c>
      <c r="BY36" s="225">
        <f>IF($C36&gt;=Wirtschaftlichkeit!$N$8,Wirtschaftlichkeit!$N$8,IF(AND($C36&lt;=Wirtschaftlichkeit!$N$8,$C36&gt;=Wirtschaftlichkeit!$N$8*Eingabemaske!$B$18),$C36,"0"))</f>
        <v>17.576370000000001</v>
      </c>
      <c r="BZ36" s="222">
        <v>2263</v>
      </c>
      <c r="CA36" s="224">
        <f t="shared" si="22"/>
        <v>1280.1283650000003</v>
      </c>
      <c r="CB36" s="222">
        <v>2263</v>
      </c>
      <c r="CC36" s="226">
        <f t="shared" si="23"/>
        <v>17.576370000000001</v>
      </c>
      <c r="CD36" s="312">
        <v>2263</v>
      </c>
      <c r="CE36" s="286">
        <f>BY36*Wirtschaftlichkeit!$N$5/Wirtschaftlichkeit!$N$7</f>
        <v>7.4092189476248977</v>
      </c>
      <c r="CF36" s="284">
        <f t="shared" si="24"/>
        <v>539.63084171248556</v>
      </c>
      <c r="CH36" s="222">
        <v>2263</v>
      </c>
      <c r="CI36" s="225">
        <f>IF($C36&gt;=Wirtschaftlichkeit!$O$8,Wirtschaftlichkeit!$O$8,IF(AND($C36&lt;=Wirtschaftlichkeit!$O$8,$C36&gt;=Wirtschaftlichkeit!$O$8*Eingabemaske!$B$18),$C36,"0"))</f>
        <v>17.576370000000001</v>
      </c>
      <c r="CJ36" s="222">
        <v>2263</v>
      </c>
      <c r="CK36" s="224">
        <f t="shared" si="25"/>
        <v>1280.1283650000003</v>
      </c>
      <c r="CL36" s="222">
        <v>2263</v>
      </c>
      <c r="CM36" s="226">
        <f t="shared" si="26"/>
        <v>17.576370000000001</v>
      </c>
      <c r="CN36" s="312">
        <v>2263</v>
      </c>
      <c r="CO36" s="286">
        <f>CI36*Wirtschaftlichkeit!$O$5/Wirtschaftlichkeit!$O$7</f>
        <v>7.5447861169381545</v>
      </c>
      <c r="CP36" s="284">
        <f t="shared" si="27"/>
        <v>549.50451749426861</v>
      </c>
      <c r="CR36" s="222">
        <v>2263</v>
      </c>
      <c r="CS36" s="225">
        <f>IF($C36&gt;=Wirtschaftlichkeit!$P$8,Wirtschaftlichkeit!$P$8,IF(AND($C36&lt;=Wirtschaftlichkeit!$P$8,$C36&gt;=Wirtschaftlichkeit!$P$8*Eingabemaske!$B$18),$C36,"0"))</f>
        <v>17.576370000000001</v>
      </c>
      <c r="CT36" s="222">
        <v>2263</v>
      </c>
      <c r="CU36" s="224">
        <f t="shared" si="28"/>
        <v>1280.1283650000003</v>
      </c>
      <c r="CV36" s="222">
        <v>2263</v>
      </c>
      <c r="CW36" s="226">
        <f t="shared" si="29"/>
        <v>17.576370000000001</v>
      </c>
      <c r="CX36" s="312">
        <v>2263</v>
      </c>
      <c r="CY36" s="286">
        <f>CS36*Wirtschaftlichkeit!$P$5/Wirtschaftlichkeit!$P$7</f>
        <v>7.6688001808709245</v>
      </c>
      <c r="CZ36" s="284">
        <f t="shared" si="30"/>
        <v>558.53675343941904</v>
      </c>
      <c r="DB36" s="222">
        <v>2263</v>
      </c>
      <c r="DC36" s="225">
        <f>IF($C36&gt;=Wirtschaftlichkeit!$Q$8,Wirtschaftlichkeit!$Q$8,IF(AND($C36&lt;=Wirtschaftlichkeit!$Q$8,$C36&gt;=Wirtschaftlichkeit!$Q$8*Eingabemaske!$B$18),$C36,"0"))</f>
        <v>17.576370000000001</v>
      </c>
      <c r="DD36" s="222">
        <v>2263</v>
      </c>
      <c r="DE36" s="224">
        <f t="shared" si="31"/>
        <v>1280.1283650000003</v>
      </c>
      <c r="DF36" s="222">
        <v>2263</v>
      </c>
      <c r="DG36" s="226">
        <f t="shared" si="32"/>
        <v>17.576370000000001</v>
      </c>
      <c r="DH36" s="312">
        <v>2263</v>
      </c>
      <c r="DI36" s="286">
        <f>DC36*Wirtschaftlichkeit!$Q$5/Wirtschaftlichkeit!$Q$7</f>
        <v>8.0476818091318769</v>
      </c>
      <c r="DJ36" s="284">
        <f t="shared" si="33"/>
        <v>586.13159351812874</v>
      </c>
      <c r="DL36" s="222">
        <v>2263</v>
      </c>
      <c r="DM36" s="225">
        <f>IF($C36&gt;=Wirtschaftlichkeit!$R$8,Wirtschaftlichkeit!$R$8,IF(AND($C36&lt;=Wirtschaftlichkeit!$R$8,$C36&gt;=Wirtschaftlichkeit!$R$8*Eingabemaske!$B$18),$C36,"0"))</f>
        <v>17.576370000000001</v>
      </c>
      <c r="DN36" s="222">
        <v>2263</v>
      </c>
      <c r="DO36" s="224">
        <f t="shared" si="34"/>
        <v>1280.1283650000003</v>
      </c>
      <c r="DP36" s="222">
        <v>2263</v>
      </c>
      <c r="DQ36" s="226">
        <f t="shared" si="35"/>
        <v>17.576370000000001</v>
      </c>
      <c r="DR36" s="312">
        <v>2263</v>
      </c>
      <c r="DS36" s="286">
        <f>DM36*Wirtschaftlichkeit!$R$5/Wirtschaftlichkeit!$R$7</f>
        <v>8.1539476900224628</v>
      </c>
      <c r="DT36" s="284">
        <f t="shared" si="36"/>
        <v>593.87118755032941</v>
      </c>
      <c r="DV36" s="222">
        <v>2263</v>
      </c>
      <c r="DW36" s="225">
        <f>IF($C36&gt;=Wirtschaftlichkeit!$S$8,Wirtschaftlichkeit!$S$8,IF(AND($C36&lt;=Wirtschaftlichkeit!$S$8,$C36&gt;=Wirtschaftlichkeit!$S$8*Eingabemaske!$B$18),$C36,"0"))</f>
        <v>17.576370000000001</v>
      </c>
      <c r="DX36" s="222">
        <v>2263</v>
      </c>
      <c r="DY36" s="224">
        <f t="shared" si="37"/>
        <v>1280.1283650000003</v>
      </c>
      <c r="DZ36" s="222">
        <v>2263</v>
      </c>
      <c r="EA36" s="226">
        <f t="shared" si="38"/>
        <v>17.576370000000001</v>
      </c>
      <c r="EB36" s="312">
        <v>2263</v>
      </c>
      <c r="EC36" s="286">
        <f>DW36*Wirtschaftlichkeit!$S$5/Wirtschaftlichkeit!$S$7</f>
        <v>8.2533404385559148</v>
      </c>
      <c r="ED36" s="284">
        <f t="shared" si="39"/>
        <v>601.11019518802607</v>
      </c>
      <c r="EF36" s="222">
        <v>2263</v>
      </c>
      <c r="EG36" s="225">
        <f>IF($C36&gt;=Wirtschaftlichkeit!$T$8,Wirtschaftlichkeit!$T$8,IF(AND($C36&lt;=Wirtschaftlichkeit!$T$8,$C36&gt;=Wirtschaftlichkeit!$T$8*Eingabemaske!$B$18),$C36,"0"))</f>
        <v>17.576370000000001</v>
      </c>
      <c r="EH36" s="222">
        <v>2263</v>
      </c>
      <c r="EI36" s="224">
        <f t="shared" si="40"/>
        <v>1280.1283650000003</v>
      </c>
      <c r="EJ36" s="222">
        <v>2263</v>
      </c>
      <c r="EK36" s="226">
        <f t="shared" si="41"/>
        <v>17.576370000000001</v>
      </c>
      <c r="EL36" s="312">
        <v>2263</v>
      </c>
      <c r="EM36" s="286">
        <f>EG36*Wirtschaftlichkeit!$T$5/Wirtschaftlichkeit!$T$7</f>
        <v>8.3467938140396303</v>
      </c>
      <c r="EN36" s="284">
        <f t="shared" si="42"/>
        <v>607.91662431768714</v>
      </c>
      <c r="EP36" s="222">
        <v>2263</v>
      </c>
      <c r="EQ36" s="225">
        <f>IF($C36&gt;=Wirtschaftlichkeit!$U$8,Wirtschaftlichkeit!$U$8,IF(AND($C36&lt;=Wirtschaftlichkeit!$U$8,$C36&gt;=Wirtschaftlichkeit!$U$8*Eingabemaske!$B$18),$C36,"0"))</f>
        <v>17.576370000000001</v>
      </c>
      <c r="ER36" s="222">
        <v>2263</v>
      </c>
      <c r="ES36" s="224">
        <f t="shared" si="43"/>
        <v>1280.1283650000003</v>
      </c>
      <c r="ET36" s="222">
        <v>2263</v>
      </c>
      <c r="EU36" s="226">
        <f t="shared" si="44"/>
        <v>17.576370000000001</v>
      </c>
      <c r="EV36" s="312">
        <v>2263</v>
      </c>
      <c r="EW36" s="286">
        <f>EQ36*Wirtschaftlichkeit!$U$5/Wirtschaftlichkeit!$U$7</f>
        <v>8.4350582267323926</v>
      </c>
      <c r="EX36" s="284">
        <f t="shared" si="45"/>
        <v>614.34512908335091</v>
      </c>
      <c r="EZ36" s="222">
        <v>2263</v>
      </c>
      <c r="FA36" s="225">
        <f>IF($C36&gt;=Wirtschaftlichkeit!$V$8,Wirtschaftlichkeit!$V$8,IF(AND($C36&lt;=Wirtschaftlichkeit!$V$8,$C36&gt;=Wirtschaftlichkeit!$V$8*Eingabemaske!$B$18),$C36,"0"))</f>
        <v>17.576370000000001</v>
      </c>
      <c r="FB36" s="222">
        <v>2263</v>
      </c>
      <c r="FC36" s="224">
        <f t="shared" si="46"/>
        <v>1280.1283650000003</v>
      </c>
      <c r="FD36" s="222">
        <v>2263</v>
      </c>
      <c r="FE36" s="226">
        <f t="shared" si="47"/>
        <v>17.576370000000001</v>
      </c>
      <c r="FF36" s="312">
        <v>2263</v>
      </c>
      <c r="FG36" s="286">
        <f>FA36*Wirtschaftlichkeit!$V$5/Wirtschaftlichkeit!$V$7</f>
        <v>8.5187463691479639</v>
      </c>
      <c r="FH36" s="284">
        <f t="shared" si="48"/>
        <v>620.44033332178776</v>
      </c>
      <c r="FJ36" s="222">
        <v>2263</v>
      </c>
      <c r="FK36" s="225">
        <f>IF($C36&gt;=Wirtschaftlichkeit!$W$8,Wirtschaftlichkeit!$W$8,IF(AND($C36&lt;=Wirtschaftlichkeit!$W$8,$C36&gt;=Wirtschaftlichkeit!$W$8*Eingabemaske!$B$18),$C36,"0"))</f>
        <v>17.576370000000001</v>
      </c>
      <c r="FL36" s="222">
        <v>2263</v>
      </c>
      <c r="FM36" s="224">
        <f t="shared" si="49"/>
        <v>1280.1283650000003</v>
      </c>
      <c r="FN36" s="222">
        <v>2263</v>
      </c>
      <c r="FO36" s="226">
        <f t="shared" si="50"/>
        <v>17.576370000000001</v>
      </c>
      <c r="FP36" s="312">
        <v>2263</v>
      </c>
      <c r="FQ36" s="286">
        <f>FK36*Wirtschaftlichkeit!$W$5/Wirtschaftlichkeit!$W$7</f>
        <v>8.5983653882700146</v>
      </c>
      <c r="FR36" s="284">
        <f t="shared" si="51"/>
        <v>626.23917374057817</v>
      </c>
      <c r="FT36" s="222">
        <v>2263</v>
      </c>
      <c r="FU36" s="225" t="str">
        <f>IF($C36&gt;=Wirtschaftlichkeit!$X$8,Wirtschaftlichkeit!$X$8,IF(AND($C36&lt;=Wirtschaftlichkeit!$X$8,$C36&gt;=Wirtschaftlichkeit!$X$8*Eingabemaske!$B$18),$C36,"0"))</f>
        <v>0</v>
      </c>
      <c r="FV36" s="222">
        <v>2263</v>
      </c>
      <c r="FW36" s="224">
        <f t="shared" si="52"/>
        <v>0</v>
      </c>
      <c r="FX36" s="222">
        <v>2263</v>
      </c>
      <c r="FY36" s="226" t="str">
        <f t="shared" si="53"/>
        <v xml:space="preserve"> </v>
      </c>
      <c r="FZ36" s="312">
        <v>2263</v>
      </c>
      <c r="GA36" s="286">
        <f>FU36*Wirtschaftlichkeit!$X$5/Wirtschaftlichkeit!$X$7</f>
        <v>0</v>
      </c>
      <c r="GB36" s="284">
        <f t="shared" si="54"/>
        <v>0</v>
      </c>
      <c r="GD36" s="222">
        <v>2263</v>
      </c>
      <c r="GE36" s="225" t="str">
        <f>IF($C36&gt;=Wirtschaftlichkeit!$Y$8,Wirtschaftlichkeit!$Y$8,IF(AND($C36&lt;=Wirtschaftlichkeit!$Y$8,$C36&gt;=Wirtschaftlichkeit!$Y$8*Eingabemaske!$B$18),$C36,"0"))</f>
        <v>0</v>
      </c>
      <c r="GF36" s="222">
        <v>2263</v>
      </c>
      <c r="GG36" s="224">
        <f t="shared" si="55"/>
        <v>0</v>
      </c>
      <c r="GH36" s="222">
        <v>2263</v>
      </c>
      <c r="GI36" s="226" t="str">
        <f t="shared" si="56"/>
        <v xml:space="preserve"> </v>
      </c>
      <c r="GJ36" s="312">
        <v>2263</v>
      </c>
      <c r="GK36" s="286">
        <f>GE36*Wirtschaftlichkeit!$Y$5/Wirtschaftlichkeit!$Y$7</f>
        <v>0</v>
      </c>
      <c r="GL36" s="284">
        <f t="shared" si="57"/>
        <v>0</v>
      </c>
      <c r="GN36" s="222">
        <v>2263</v>
      </c>
      <c r="GO36" s="225" t="str">
        <f>IF($C36&gt;=Wirtschaftlichkeit!$Z$8,Wirtschaftlichkeit!$Z$8,IF(AND($C36&lt;=Wirtschaftlichkeit!$Z$8,$C36&gt;=Wirtschaftlichkeit!$Z$8*Eingabemaske!$B$18),$C36,"0"))</f>
        <v>0</v>
      </c>
      <c r="GP36" s="222">
        <v>2263</v>
      </c>
      <c r="GQ36" s="224">
        <f t="shared" si="58"/>
        <v>0</v>
      </c>
      <c r="GR36" s="222">
        <v>2263</v>
      </c>
      <c r="GS36" s="226" t="str">
        <f t="shared" si="59"/>
        <v xml:space="preserve"> </v>
      </c>
      <c r="GT36" s="312">
        <v>2263</v>
      </c>
      <c r="GU36" s="286">
        <f>GO36*Wirtschaftlichkeit!$Z$5/Wirtschaftlichkeit!$Z$7</f>
        <v>0</v>
      </c>
      <c r="GV36" s="284">
        <f t="shared" si="60"/>
        <v>0</v>
      </c>
      <c r="GW36" s="266"/>
      <c r="GX36" s="258">
        <v>2263</v>
      </c>
      <c r="GY36" s="270">
        <f>IF(Berechnung_Diagramme!$C$28=Berechnungen_Lastgang!$F$2,Berechnungen_Lastgang!G36,IF(Berechnung_Diagramme!$C$28=Berechnungen_Lastgang!$P$2,Berechnungen_Lastgang!Q36,IF(Berechnung_Diagramme!$C$28=Berechnungen_Lastgang!$Z$2,Berechnungen_Lastgang!AA36,IF(Berechnung_Diagramme!$C$28=Berechnungen_Lastgang!$AJ$2,Berechnungen_Lastgang!AK36,IF(Berechnung_Diagramme!$C$28=Berechnungen_Lastgang!$AT$2,Berechnungen_Lastgang!AU36,IF(Berechnung_Diagramme!$C$28=Berechnungen_Lastgang!$BD$2,Berechnungen_Lastgang!BE36,IF(Berechnung_Diagramme!$C$28=Berechnungen_Lastgang!$BN$2,Berechnungen_Lastgang!BO36,IF(Berechnung_Diagramme!$C$28=Berechnungen_Lastgang!$BX$2,Berechnungen_Lastgang!BY36,IF(Berechnung_Diagramme!$C$28=Berechnungen_Lastgang!$CH$2,Berechnungen_Lastgang!CI36,IF(Berechnung_Diagramme!$C$28=Berechnungen_Lastgang!$CR$2,Berechnungen_Lastgang!CS36,IF(Berechnung_Diagramme!$C$28=Berechnungen_Lastgang!$DB$2,Berechnungen_Lastgang!DC36,IF(Berechnung_Diagramme!$C$28=Berechnungen_Lastgang!$DL$2,Berechnungen_Lastgang!DM36,IF(Berechnung_Diagramme!$C$28=Berechnungen_Lastgang!$DV$2,Berechnungen_Lastgang!DW36,IF(Berechnung_Diagramme!$C$28=Berechnungen_Lastgang!$EF$2,Berechnungen_Lastgang!EG36,IF(Berechnung_Diagramme!$C$28=Berechnungen_Lastgang!$EP$2,Berechnungen_Lastgang!EQ36,IF(Berechnung_Diagramme!$C$28=Berechnungen_Lastgang!$EZ$2,Berechnungen_Lastgang!FA36,IF(Berechnung_Diagramme!$C$28=Berechnungen_Lastgang!$FJ$2,Berechnungen_Lastgang!FK36,IF(Berechnung_Diagramme!$C$28=Berechnungen_Lastgang!$FT$2,Berechnungen_Lastgang!FU36,IF(Berechnung_Diagramme!$C$28=Berechnungen_Lastgang!$GD$2,Berechnungen_Lastgang!GE36,IF(Berechnung_Diagramme!$C$28=Berechnungen_Lastgang!$GN$2,Berechnungen_Lastgang!GO36,""))))))))))))))))))))</f>
        <v>17.576370000000001</v>
      </c>
    </row>
    <row r="37" spans="2:207" ht="14.45" x14ac:dyDescent="0.3">
      <c r="B37" s="64">
        <v>2336</v>
      </c>
      <c r="C37" s="67">
        <f>C36+((C40-C36)/(B40-B36))*(B37-B36)</f>
        <v>17.495640000000002</v>
      </c>
      <c r="D37" s="66">
        <f t="shared" ref="D37:D68" si="61">73*((C37+C38)/2)</f>
        <v>1274.2350750000001</v>
      </c>
      <c r="F37" s="64">
        <v>2336</v>
      </c>
      <c r="G37" s="225">
        <f>IF($C37&gt;=Wirtschaftlichkeit!$G$8,Wirtschaftlichkeit!$G$8,IF(AND($C37&lt;=Wirtschaftlichkeit!$G$8,$C37&gt;=Wirtschaftlichkeit!$G$8*Eingabemaske!$B$18),$C37,"0"))</f>
        <v>2.8333333333333335</v>
      </c>
      <c r="H37" s="64">
        <v>2336</v>
      </c>
      <c r="I37" s="66">
        <f t="shared" ref="I37:I68" si="62">73*((G37+G38)/2)</f>
        <v>206.83333333333334</v>
      </c>
      <c r="J37" s="64">
        <v>2336</v>
      </c>
      <c r="K37" s="71">
        <f t="shared" ref="K37:K68" si="63">IF(G37="0"," ",G37)</f>
        <v>2.8333333333333335</v>
      </c>
      <c r="L37" s="312">
        <v>2336</v>
      </c>
      <c r="M37" s="286">
        <f>G37*Wirtschaftlichkeit!$G$5/Wirtschaftlichkeit!$G$7</f>
        <v>1</v>
      </c>
      <c r="N37" s="284">
        <f t="shared" si="3"/>
        <v>73</v>
      </c>
      <c r="P37" s="222">
        <v>2336</v>
      </c>
      <c r="Q37" s="225">
        <f>IF($C37&gt;=Wirtschaftlichkeit!$H$8,Wirtschaftlichkeit!$H$8,IF(AND($C37&lt;=Wirtschaftlichkeit!$H$8,$C37&gt;=Wirtschaftlichkeit!$H$8*Eingabemaske!$B$18),$C37,"0"))</f>
        <v>5.5876288659793811</v>
      </c>
      <c r="R37" s="222">
        <v>2336</v>
      </c>
      <c r="S37" s="224">
        <f t="shared" si="4"/>
        <v>407.89690721649481</v>
      </c>
      <c r="T37" s="222">
        <v>2336</v>
      </c>
      <c r="U37" s="226">
        <f t="shared" si="5"/>
        <v>5.5876288659793811</v>
      </c>
      <c r="V37" s="312">
        <v>2336</v>
      </c>
      <c r="W37" s="286">
        <f>Q37*Wirtschaftlichkeit!$H$5/Wirtschaftlichkeit!$H$7</f>
        <v>2</v>
      </c>
      <c r="X37" s="284">
        <f t="shared" si="6"/>
        <v>146</v>
      </c>
      <c r="Z37" s="222">
        <v>2336</v>
      </c>
      <c r="AA37" s="225">
        <f>IF($C37&gt;=Wirtschaftlichkeit!$I$8,Wirtschaftlichkeit!$I$8,IF(AND($C37&lt;=Wirtschaftlichkeit!$I$8,$C37&gt;=Wirtschaftlichkeit!$I$8*Eingabemaske!$B$18),$C37,"0"))</f>
        <v>8.2471643149712612</v>
      </c>
      <c r="AB37" s="222">
        <v>2336</v>
      </c>
      <c r="AC37" s="224">
        <f t="shared" si="7"/>
        <v>602.04299499290209</v>
      </c>
      <c r="AD37" s="222">
        <v>2336</v>
      </c>
      <c r="AE37" s="226">
        <f t="shared" si="8"/>
        <v>8.2471643149712612</v>
      </c>
      <c r="AF37" s="312">
        <v>2336</v>
      </c>
      <c r="AG37" s="286">
        <f>AA37*Wirtschaftlichkeit!$I$5/Wirtschaftlichkeit!$I$7</f>
        <v>3.0000000000000004</v>
      </c>
      <c r="AH37" s="284">
        <f t="shared" si="9"/>
        <v>219.00000000000003</v>
      </c>
      <c r="AJ37" s="222">
        <v>2336</v>
      </c>
      <c r="AK37" s="225">
        <f>IF($C37&gt;=Wirtschaftlichkeit!$J$8,Wirtschaftlichkeit!$J$8,IF(AND($C37&lt;=Wirtschaftlichkeit!$J$8,$C37&gt;=Wirtschaftlichkeit!$J$8*Eingabemaske!$B$18),$C37,"0"))</f>
        <v>10.537455322965799</v>
      </c>
      <c r="AL37" s="222">
        <v>2336</v>
      </c>
      <c r="AM37" s="224">
        <f t="shared" si="10"/>
        <v>769.23423857650334</v>
      </c>
      <c r="AN37" s="222">
        <v>2336</v>
      </c>
      <c r="AO37" s="226">
        <f t="shared" si="11"/>
        <v>10.537455322965799</v>
      </c>
      <c r="AP37" s="312">
        <v>2336</v>
      </c>
      <c r="AQ37" s="286">
        <f>AK37*Wirtschaftlichkeit!$J$5/Wirtschaftlichkeit!$J$7</f>
        <v>4</v>
      </c>
      <c r="AR37" s="284">
        <f t="shared" si="12"/>
        <v>292</v>
      </c>
      <c r="AT37" s="222">
        <v>2336</v>
      </c>
      <c r="AU37" s="225">
        <f>IF($C37&gt;=Wirtschaftlichkeit!$K$8,Wirtschaftlichkeit!$K$8,IF(AND($C37&lt;=Wirtschaftlichkeit!$K$8,$C37&gt;=Wirtschaftlichkeit!$K$8*Eingabemaske!$B$18),$C37,"0"))</f>
        <v>12.739122166763016</v>
      </c>
      <c r="AV37" s="222">
        <v>2336</v>
      </c>
      <c r="AW37" s="224">
        <f t="shared" si="13"/>
        <v>929.95591817370018</v>
      </c>
      <c r="AX37" s="222">
        <v>2336</v>
      </c>
      <c r="AY37" s="226">
        <f t="shared" si="14"/>
        <v>12.739122166763016</v>
      </c>
      <c r="AZ37" s="312">
        <v>2336</v>
      </c>
      <c r="BA37" s="286">
        <f>AU37*Wirtschaftlichkeit!$K$5/Wirtschaftlichkeit!$K$7</f>
        <v>5</v>
      </c>
      <c r="BB37" s="284">
        <f t="shared" si="15"/>
        <v>365</v>
      </c>
      <c r="BD37" s="222">
        <v>2336</v>
      </c>
      <c r="BE37" s="225">
        <f>IF($C37&gt;=Wirtschaftlichkeit!$L$8,Wirtschaftlichkeit!$L$8,IF(AND($C37&lt;=Wirtschaftlichkeit!$L$8,$C37&gt;=Wirtschaftlichkeit!$L$8*Eingabemaske!$B$18),$C37,"0"))</f>
        <v>14.87189090675227</v>
      </c>
      <c r="BF37" s="222">
        <v>2336</v>
      </c>
      <c r="BG37" s="224">
        <f t="shared" si="16"/>
        <v>1085.6480361929157</v>
      </c>
      <c r="BH37" s="222">
        <v>2336</v>
      </c>
      <c r="BI37" s="226">
        <f t="shared" si="17"/>
        <v>14.87189090675227</v>
      </c>
      <c r="BJ37" s="312">
        <v>2336</v>
      </c>
      <c r="BK37" s="286">
        <f>BE37*Wirtschaftlichkeit!$L$5/Wirtschaftlichkeit!$L$7</f>
        <v>6</v>
      </c>
      <c r="BL37" s="284">
        <f t="shared" si="18"/>
        <v>438</v>
      </c>
      <c r="BN37" s="222">
        <v>2336</v>
      </c>
      <c r="BO37" s="225">
        <f>IF($C37&gt;=Wirtschaftlichkeit!$M$8,Wirtschaftlichkeit!$M$8,IF(AND($C37&lt;=Wirtschaftlichkeit!$M$8,$C37&gt;=Wirtschaftlichkeit!$M$8*Eingabemaske!$B$18),$C37,"0"))</f>
        <v>16.948500863015312</v>
      </c>
      <c r="BP37" s="222">
        <v>2336</v>
      </c>
      <c r="BQ37" s="224">
        <f t="shared" si="19"/>
        <v>1237.2405630001178</v>
      </c>
      <c r="BR37" s="222">
        <v>2336</v>
      </c>
      <c r="BS37" s="226">
        <f t="shared" si="20"/>
        <v>16.948500863015312</v>
      </c>
      <c r="BT37" s="312">
        <v>2336</v>
      </c>
      <c r="BU37" s="286">
        <f>BO37*Wirtschaftlichkeit!$M$5/Wirtschaftlichkeit!$M$7</f>
        <v>7</v>
      </c>
      <c r="BV37" s="284">
        <f t="shared" si="21"/>
        <v>511</v>
      </c>
      <c r="BX37" s="222">
        <v>2336</v>
      </c>
      <c r="BY37" s="225">
        <f>IF($C37&gt;=Wirtschaftlichkeit!$N$8,Wirtschaftlichkeit!$N$8,IF(AND($C37&lt;=Wirtschaftlichkeit!$N$8,$C37&gt;=Wirtschaftlichkeit!$N$8*Eingabemaske!$B$18),$C37,"0"))</f>
        <v>17.495640000000002</v>
      </c>
      <c r="BZ37" s="222">
        <v>2336</v>
      </c>
      <c r="CA37" s="224">
        <f t="shared" si="22"/>
        <v>1274.2350750000001</v>
      </c>
      <c r="CB37" s="222">
        <v>2336</v>
      </c>
      <c r="CC37" s="226">
        <f t="shared" si="23"/>
        <v>17.495640000000002</v>
      </c>
      <c r="CD37" s="312">
        <v>2336</v>
      </c>
      <c r="CE37" s="286">
        <f>BY37*Wirtschaftlichkeit!$N$5/Wirtschaftlichkeit!$N$7</f>
        <v>7.375187674634982</v>
      </c>
      <c r="CF37" s="284">
        <f t="shared" si="24"/>
        <v>537.14655878422172</v>
      </c>
      <c r="CH37" s="222">
        <v>2336</v>
      </c>
      <c r="CI37" s="225">
        <f>IF($C37&gt;=Wirtschaftlichkeit!$O$8,Wirtschaftlichkeit!$O$8,IF(AND($C37&lt;=Wirtschaftlichkeit!$O$8,$C37&gt;=Wirtschaftlichkeit!$O$8*Eingabemaske!$B$18),$C37,"0"))</f>
        <v>17.495640000000002</v>
      </c>
      <c r="CJ37" s="222">
        <v>2336</v>
      </c>
      <c r="CK37" s="224">
        <f t="shared" si="25"/>
        <v>1274.2350750000001</v>
      </c>
      <c r="CL37" s="222">
        <v>2336</v>
      </c>
      <c r="CM37" s="226">
        <f t="shared" si="26"/>
        <v>17.495640000000002</v>
      </c>
      <c r="CN37" s="312">
        <v>2336</v>
      </c>
      <c r="CO37" s="286">
        <f>CI37*Wirtschaftlichkeit!$O$5/Wirtschaftlichkeit!$O$7</f>
        <v>7.5101321705760542</v>
      </c>
      <c r="CP37" s="284">
        <f t="shared" si="27"/>
        <v>546.97477940983538</v>
      </c>
      <c r="CR37" s="222">
        <v>2336</v>
      </c>
      <c r="CS37" s="225">
        <f>IF($C37&gt;=Wirtschaftlichkeit!$P$8,Wirtschaftlichkeit!$P$8,IF(AND($C37&lt;=Wirtschaftlichkeit!$P$8,$C37&gt;=Wirtschaftlichkeit!$P$8*Eingabemaske!$B$18),$C37,"0"))</f>
        <v>17.495640000000002</v>
      </c>
      <c r="CT37" s="222">
        <v>2336</v>
      </c>
      <c r="CU37" s="224">
        <f t="shared" si="28"/>
        <v>1274.2350750000001</v>
      </c>
      <c r="CV37" s="222">
        <v>2336</v>
      </c>
      <c r="CW37" s="226">
        <f t="shared" si="29"/>
        <v>17.495640000000002</v>
      </c>
      <c r="CX37" s="312">
        <v>2336</v>
      </c>
      <c r="CY37" s="286">
        <f>CS37*Wirtschaftlichkeit!$P$5/Wirtschaftlichkeit!$P$7</f>
        <v>7.6335766256885007</v>
      </c>
      <c r="CZ37" s="284">
        <f t="shared" si="30"/>
        <v>555.96543391110208</v>
      </c>
      <c r="DB37" s="222">
        <v>2336</v>
      </c>
      <c r="DC37" s="225">
        <f>IF($C37&gt;=Wirtschaftlichkeit!$Q$8,Wirtschaftlichkeit!$Q$8,IF(AND($C37&lt;=Wirtschaftlichkeit!$Q$8,$C37&gt;=Wirtschaftlichkeit!$Q$8*Eingabemaske!$B$18),$C37,"0"))</f>
        <v>17.495640000000002</v>
      </c>
      <c r="DD37" s="222">
        <v>2336</v>
      </c>
      <c r="DE37" s="224">
        <f t="shared" si="31"/>
        <v>1274.2350750000001</v>
      </c>
      <c r="DF37" s="222">
        <v>2336</v>
      </c>
      <c r="DG37" s="226">
        <f t="shared" si="32"/>
        <v>17.495640000000002</v>
      </c>
      <c r="DH37" s="312">
        <v>2336</v>
      </c>
      <c r="DI37" s="286">
        <f>DC37*Wirtschaftlichkeit!$Q$5/Wirtschaftlichkeit!$Q$7</f>
        <v>8.0107180132826077</v>
      </c>
      <c r="DJ37" s="284">
        <f t="shared" si="33"/>
        <v>583.43323642113205</v>
      </c>
      <c r="DL37" s="222">
        <v>2336</v>
      </c>
      <c r="DM37" s="225">
        <f>IF($C37&gt;=Wirtschaftlichkeit!$R$8,Wirtschaftlichkeit!$R$8,IF(AND($C37&lt;=Wirtschaftlichkeit!$R$8,$C37&gt;=Wirtschaftlichkeit!$R$8*Eingabemaske!$B$18),$C37,"0"))</f>
        <v>17.495640000000002</v>
      </c>
      <c r="DN37" s="222">
        <v>2336</v>
      </c>
      <c r="DO37" s="224">
        <f t="shared" si="34"/>
        <v>1274.2350750000001</v>
      </c>
      <c r="DP37" s="222">
        <v>2336</v>
      </c>
      <c r="DQ37" s="226">
        <f t="shared" si="35"/>
        <v>17.495640000000002</v>
      </c>
      <c r="DR37" s="312">
        <v>2336</v>
      </c>
      <c r="DS37" s="286">
        <f>DM37*Wirtschaftlichkeit!$R$5/Wirtschaftlichkeit!$R$7</f>
        <v>8.1164958045071085</v>
      </c>
      <c r="DT37" s="284">
        <f t="shared" si="36"/>
        <v>591.13719990770846</v>
      </c>
      <c r="DV37" s="222">
        <v>2336</v>
      </c>
      <c r="DW37" s="225">
        <f>IF($C37&gt;=Wirtschaftlichkeit!$S$8,Wirtschaftlichkeit!$S$8,IF(AND($C37&lt;=Wirtschaftlichkeit!$S$8,$C37&gt;=Wirtschaftlichkeit!$S$8*Eingabemaske!$B$18),$C37,"0"))</f>
        <v>17.495640000000002</v>
      </c>
      <c r="DX37" s="222">
        <v>2336</v>
      </c>
      <c r="DY37" s="224">
        <f t="shared" si="37"/>
        <v>1274.2350750000001</v>
      </c>
      <c r="DZ37" s="222">
        <v>2336</v>
      </c>
      <c r="EA37" s="226">
        <f t="shared" si="38"/>
        <v>17.495640000000002</v>
      </c>
      <c r="EB37" s="312">
        <v>2336</v>
      </c>
      <c r="EC37" s="286">
        <f>DW37*Wirtschaftlichkeit!$S$5/Wirtschaftlichkeit!$S$7</f>
        <v>8.2154320323489092</v>
      </c>
      <c r="ED37" s="284">
        <f t="shared" si="39"/>
        <v>598.34288153491468</v>
      </c>
      <c r="EF37" s="222">
        <v>2336</v>
      </c>
      <c r="EG37" s="225">
        <f>IF($C37&gt;=Wirtschaftlichkeit!$T$8,Wirtschaftlichkeit!$T$8,IF(AND($C37&lt;=Wirtschaftlichkeit!$T$8,$C37&gt;=Wirtschaftlichkeit!$T$8*Eingabemaske!$B$18),$C37,"0"))</f>
        <v>17.495640000000002</v>
      </c>
      <c r="EH37" s="222">
        <v>2336</v>
      </c>
      <c r="EI37" s="224">
        <f t="shared" si="40"/>
        <v>1274.2350750000001</v>
      </c>
      <c r="EJ37" s="222">
        <v>2336</v>
      </c>
      <c r="EK37" s="226">
        <f t="shared" si="41"/>
        <v>17.495640000000002</v>
      </c>
      <c r="EL37" s="312">
        <v>2336</v>
      </c>
      <c r="EM37" s="286">
        <f>EG37*Wirtschaftlichkeit!$T$5/Wirtschaftlichkeit!$T$7</f>
        <v>8.3084561672668649</v>
      </c>
      <c r="EN37" s="284">
        <f t="shared" si="42"/>
        <v>605.11797610327528</v>
      </c>
      <c r="EP37" s="222">
        <v>2336</v>
      </c>
      <c r="EQ37" s="225">
        <f>IF($C37&gt;=Wirtschaftlichkeit!$U$8,Wirtschaftlichkeit!$U$8,IF(AND($C37&lt;=Wirtschaftlichkeit!$U$8,$C37&gt;=Wirtschaftlichkeit!$U$8*Eingabemaske!$B$18),$C37,"0"))</f>
        <v>17.495640000000002</v>
      </c>
      <c r="ER37" s="222">
        <v>2336</v>
      </c>
      <c r="ES37" s="224">
        <f t="shared" si="43"/>
        <v>1274.2350750000001</v>
      </c>
      <c r="ET37" s="222">
        <v>2336</v>
      </c>
      <c r="EU37" s="226">
        <f t="shared" si="44"/>
        <v>17.495640000000002</v>
      </c>
      <c r="EV37" s="312">
        <v>2336</v>
      </c>
      <c r="EW37" s="286">
        <f>EQ37*Wirtschaftlichkeit!$U$5/Wirtschaftlichkeit!$U$7</f>
        <v>8.3963151728114678</v>
      </c>
      <c r="EX37" s="284">
        <f t="shared" si="45"/>
        <v>611.5168861471235</v>
      </c>
      <c r="EZ37" s="222">
        <v>2336</v>
      </c>
      <c r="FA37" s="225">
        <f>IF($C37&gt;=Wirtschaftlichkeit!$V$8,Wirtschaftlichkeit!$V$8,IF(AND($C37&lt;=Wirtschaftlichkeit!$V$8,$C37&gt;=Wirtschaftlichkeit!$V$8*Eingabemaske!$B$18),$C37,"0"))</f>
        <v>17.495640000000002</v>
      </c>
      <c r="FB37" s="222">
        <v>2336</v>
      </c>
      <c r="FC37" s="224">
        <f t="shared" si="46"/>
        <v>1274.2350750000001</v>
      </c>
      <c r="FD37" s="222">
        <v>2336</v>
      </c>
      <c r="FE37" s="226">
        <f t="shared" si="47"/>
        <v>17.495640000000002</v>
      </c>
      <c r="FF37" s="312">
        <v>2336</v>
      </c>
      <c r="FG37" s="286">
        <f>FA37*Wirtschaftlichkeit!$V$5/Wirtschaftlichkeit!$V$7</f>
        <v>8.4796189273393701</v>
      </c>
      <c r="FH37" s="284">
        <f t="shared" si="48"/>
        <v>617.58403006976027</v>
      </c>
      <c r="FJ37" s="222">
        <v>2336</v>
      </c>
      <c r="FK37" s="225">
        <f>IF($C37&gt;=Wirtschaftlichkeit!$W$8,Wirtschaftlichkeit!$W$8,IF(AND($C37&lt;=Wirtschaftlichkeit!$W$8,$C37&gt;=Wirtschaftlichkeit!$W$8*Eingabemaske!$B$18),$C37,"0"))</f>
        <v>17.495640000000002</v>
      </c>
      <c r="FL37" s="222">
        <v>2336</v>
      </c>
      <c r="FM37" s="224">
        <f t="shared" si="49"/>
        <v>1274.2350750000001</v>
      </c>
      <c r="FN37" s="222">
        <v>2336</v>
      </c>
      <c r="FO37" s="226">
        <f t="shared" si="50"/>
        <v>17.495640000000002</v>
      </c>
      <c r="FP37" s="312">
        <v>2336</v>
      </c>
      <c r="FQ37" s="286">
        <f>FK37*Wirtschaftlichkeit!$W$5/Wirtschaftlichkeit!$W$7</f>
        <v>8.5588722484581528</v>
      </c>
      <c r="FR37" s="284">
        <f t="shared" si="51"/>
        <v>623.35617453431212</v>
      </c>
      <c r="FT37" s="222">
        <v>2336</v>
      </c>
      <c r="FU37" s="225" t="str">
        <f>IF($C37&gt;=Wirtschaftlichkeit!$X$8,Wirtschaftlichkeit!$X$8,IF(AND($C37&lt;=Wirtschaftlichkeit!$X$8,$C37&gt;=Wirtschaftlichkeit!$X$8*Eingabemaske!$B$18),$C37,"0"))</f>
        <v>0</v>
      </c>
      <c r="FV37" s="222">
        <v>2336</v>
      </c>
      <c r="FW37" s="224">
        <f t="shared" si="52"/>
        <v>0</v>
      </c>
      <c r="FX37" s="222">
        <v>2336</v>
      </c>
      <c r="FY37" s="226" t="str">
        <f t="shared" si="53"/>
        <v xml:space="preserve"> </v>
      </c>
      <c r="FZ37" s="312">
        <v>2336</v>
      </c>
      <c r="GA37" s="286">
        <f>FU37*Wirtschaftlichkeit!$X$5/Wirtschaftlichkeit!$X$7</f>
        <v>0</v>
      </c>
      <c r="GB37" s="284">
        <f t="shared" si="54"/>
        <v>0</v>
      </c>
      <c r="GD37" s="222">
        <v>2336</v>
      </c>
      <c r="GE37" s="225" t="str">
        <f>IF($C37&gt;=Wirtschaftlichkeit!$Y$8,Wirtschaftlichkeit!$Y$8,IF(AND($C37&lt;=Wirtschaftlichkeit!$Y$8,$C37&gt;=Wirtschaftlichkeit!$Y$8*Eingabemaske!$B$18),$C37,"0"))</f>
        <v>0</v>
      </c>
      <c r="GF37" s="222">
        <v>2336</v>
      </c>
      <c r="GG37" s="224">
        <f t="shared" si="55"/>
        <v>0</v>
      </c>
      <c r="GH37" s="222">
        <v>2336</v>
      </c>
      <c r="GI37" s="226" t="str">
        <f t="shared" si="56"/>
        <v xml:space="preserve"> </v>
      </c>
      <c r="GJ37" s="312">
        <v>2336</v>
      </c>
      <c r="GK37" s="286">
        <f>GE37*Wirtschaftlichkeit!$Y$5/Wirtschaftlichkeit!$Y$7</f>
        <v>0</v>
      </c>
      <c r="GL37" s="284">
        <f t="shared" si="57"/>
        <v>0</v>
      </c>
      <c r="GN37" s="222">
        <v>2336</v>
      </c>
      <c r="GO37" s="225" t="str">
        <f>IF($C37&gt;=Wirtschaftlichkeit!$Z$8,Wirtschaftlichkeit!$Z$8,IF(AND($C37&lt;=Wirtschaftlichkeit!$Z$8,$C37&gt;=Wirtschaftlichkeit!$Z$8*Eingabemaske!$B$18),$C37,"0"))</f>
        <v>0</v>
      </c>
      <c r="GP37" s="222">
        <v>2336</v>
      </c>
      <c r="GQ37" s="224">
        <f t="shared" si="58"/>
        <v>0</v>
      </c>
      <c r="GR37" s="222">
        <v>2336</v>
      </c>
      <c r="GS37" s="226" t="str">
        <f t="shared" si="59"/>
        <v xml:space="preserve"> </v>
      </c>
      <c r="GT37" s="312">
        <v>2336</v>
      </c>
      <c r="GU37" s="286">
        <f>GO37*Wirtschaftlichkeit!$Z$5/Wirtschaftlichkeit!$Z$7</f>
        <v>0</v>
      </c>
      <c r="GV37" s="284">
        <f t="shared" si="60"/>
        <v>0</v>
      </c>
      <c r="GW37" s="266"/>
      <c r="GX37" s="258">
        <v>2336</v>
      </c>
      <c r="GY37" s="270">
        <f>IF(Berechnung_Diagramme!$C$28=Berechnungen_Lastgang!$F$2,Berechnungen_Lastgang!G37,IF(Berechnung_Diagramme!$C$28=Berechnungen_Lastgang!$P$2,Berechnungen_Lastgang!Q37,IF(Berechnung_Diagramme!$C$28=Berechnungen_Lastgang!$Z$2,Berechnungen_Lastgang!AA37,IF(Berechnung_Diagramme!$C$28=Berechnungen_Lastgang!$AJ$2,Berechnungen_Lastgang!AK37,IF(Berechnung_Diagramme!$C$28=Berechnungen_Lastgang!$AT$2,Berechnungen_Lastgang!AU37,IF(Berechnung_Diagramme!$C$28=Berechnungen_Lastgang!$BD$2,Berechnungen_Lastgang!BE37,IF(Berechnung_Diagramme!$C$28=Berechnungen_Lastgang!$BN$2,Berechnungen_Lastgang!BO37,IF(Berechnung_Diagramme!$C$28=Berechnungen_Lastgang!$BX$2,Berechnungen_Lastgang!BY37,IF(Berechnung_Diagramme!$C$28=Berechnungen_Lastgang!$CH$2,Berechnungen_Lastgang!CI37,IF(Berechnung_Diagramme!$C$28=Berechnungen_Lastgang!$CR$2,Berechnungen_Lastgang!CS37,IF(Berechnung_Diagramme!$C$28=Berechnungen_Lastgang!$DB$2,Berechnungen_Lastgang!DC37,IF(Berechnung_Diagramme!$C$28=Berechnungen_Lastgang!$DL$2,Berechnungen_Lastgang!DM37,IF(Berechnung_Diagramme!$C$28=Berechnungen_Lastgang!$DV$2,Berechnungen_Lastgang!DW37,IF(Berechnung_Diagramme!$C$28=Berechnungen_Lastgang!$EF$2,Berechnungen_Lastgang!EG37,IF(Berechnung_Diagramme!$C$28=Berechnungen_Lastgang!$EP$2,Berechnungen_Lastgang!EQ37,IF(Berechnung_Diagramme!$C$28=Berechnungen_Lastgang!$EZ$2,Berechnungen_Lastgang!FA37,IF(Berechnung_Diagramme!$C$28=Berechnungen_Lastgang!$FJ$2,Berechnungen_Lastgang!FK37,IF(Berechnung_Diagramme!$C$28=Berechnungen_Lastgang!$FT$2,Berechnungen_Lastgang!FU37,IF(Berechnung_Diagramme!$C$28=Berechnungen_Lastgang!$GD$2,Berechnungen_Lastgang!GE37,IF(Berechnung_Diagramme!$C$28=Berechnungen_Lastgang!$GN$2,Berechnungen_Lastgang!GO37,""))))))))))))))))))))</f>
        <v>17.495640000000002</v>
      </c>
    </row>
    <row r="38" spans="2:207" ht="14.45" x14ac:dyDescent="0.3">
      <c r="B38" s="64">
        <v>2409</v>
      </c>
      <c r="C38" s="67">
        <f>C37+((C40-C37)/(B40-B37))*(B38-B37)</f>
        <v>17.414910000000003</v>
      </c>
      <c r="D38" s="66">
        <f t="shared" si="61"/>
        <v>1268.3417850000003</v>
      </c>
      <c r="F38" s="64">
        <v>2409</v>
      </c>
      <c r="G38" s="225">
        <f>IF($C38&gt;=Wirtschaftlichkeit!$G$8,Wirtschaftlichkeit!$G$8,IF(AND($C38&lt;=Wirtschaftlichkeit!$G$8,$C38&gt;=Wirtschaftlichkeit!$G$8*Eingabemaske!$B$18),$C38,"0"))</f>
        <v>2.8333333333333335</v>
      </c>
      <c r="H38" s="64">
        <v>2409</v>
      </c>
      <c r="I38" s="66">
        <f t="shared" si="62"/>
        <v>206.83333333333334</v>
      </c>
      <c r="J38" s="64">
        <v>2409</v>
      </c>
      <c r="K38" s="71">
        <f t="shared" si="63"/>
        <v>2.8333333333333335</v>
      </c>
      <c r="L38" s="312">
        <v>2409</v>
      </c>
      <c r="M38" s="286">
        <f>G38*Wirtschaftlichkeit!$G$5/Wirtschaftlichkeit!$G$7</f>
        <v>1</v>
      </c>
      <c r="N38" s="284">
        <f t="shared" si="3"/>
        <v>73</v>
      </c>
      <c r="P38" s="222">
        <v>2409</v>
      </c>
      <c r="Q38" s="225">
        <f>IF($C38&gt;=Wirtschaftlichkeit!$H$8,Wirtschaftlichkeit!$H$8,IF(AND($C38&lt;=Wirtschaftlichkeit!$H$8,$C38&gt;=Wirtschaftlichkeit!$H$8*Eingabemaske!$B$18),$C38,"0"))</f>
        <v>5.5876288659793811</v>
      </c>
      <c r="R38" s="222">
        <v>2409</v>
      </c>
      <c r="S38" s="224">
        <f t="shared" si="4"/>
        <v>407.89690721649481</v>
      </c>
      <c r="T38" s="222">
        <v>2409</v>
      </c>
      <c r="U38" s="226">
        <f t="shared" si="5"/>
        <v>5.5876288659793811</v>
      </c>
      <c r="V38" s="312">
        <v>2409</v>
      </c>
      <c r="W38" s="286">
        <f>Q38*Wirtschaftlichkeit!$H$5/Wirtschaftlichkeit!$H$7</f>
        <v>2</v>
      </c>
      <c r="X38" s="284">
        <f t="shared" si="6"/>
        <v>146</v>
      </c>
      <c r="Z38" s="222">
        <v>2409</v>
      </c>
      <c r="AA38" s="225">
        <f>IF($C38&gt;=Wirtschaftlichkeit!$I$8,Wirtschaftlichkeit!$I$8,IF(AND($C38&lt;=Wirtschaftlichkeit!$I$8,$C38&gt;=Wirtschaftlichkeit!$I$8*Eingabemaske!$B$18),$C38,"0"))</f>
        <v>8.2471643149712612</v>
      </c>
      <c r="AB38" s="222">
        <v>2409</v>
      </c>
      <c r="AC38" s="224">
        <f t="shared" si="7"/>
        <v>602.04299499290209</v>
      </c>
      <c r="AD38" s="222">
        <v>2409</v>
      </c>
      <c r="AE38" s="226">
        <f t="shared" si="8"/>
        <v>8.2471643149712612</v>
      </c>
      <c r="AF38" s="312">
        <v>2409</v>
      </c>
      <c r="AG38" s="286">
        <f>AA38*Wirtschaftlichkeit!$I$5/Wirtschaftlichkeit!$I$7</f>
        <v>3.0000000000000004</v>
      </c>
      <c r="AH38" s="284">
        <f t="shared" si="9"/>
        <v>219.00000000000003</v>
      </c>
      <c r="AJ38" s="222">
        <v>2409</v>
      </c>
      <c r="AK38" s="225">
        <f>IF($C38&gt;=Wirtschaftlichkeit!$J$8,Wirtschaftlichkeit!$J$8,IF(AND($C38&lt;=Wirtschaftlichkeit!$J$8,$C38&gt;=Wirtschaftlichkeit!$J$8*Eingabemaske!$B$18),$C38,"0"))</f>
        <v>10.537455322965799</v>
      </c>
      <c r="AL38" s="222">
        <v>2409</v>
      </c>
      <c r="AM38" s="224">
        <f t="shared" si="10"/>
        <v>769.23423857650334</v>
      </c>
      <c r="AN38" s="222">
        <v>2409</v>
      </c>
      <c r="AO38" s="226">
        <f t="shared" si="11"/>
        <v>10.537455322965799</v>
      </c>
      <c r="AP38" s="312">
        <v>2409</v>
      </c>
      <c r="AQ38" s="286">
        <f>AK38*Wirtschaftlichkeit!$J$5/Wirtschaftlichkeit!$J$7</f>
        <v>4</v>
      </c>
      <c r="AR38" s="284">
        <f t="shared" si="12"/>
        <v>292</v>
      </c>
      <c r="AT38" s="222">
        <v>2409</v>
      </c>
      <c r="AU38" s="225">
        <f>IF($C38&gt;=Wirtschaftlichkeit!$K$8,Wirtschaftlichkeit!$K$8,IF(AND($C38&lt;=Wirtschaftlichkeit!$K$8,$C38&gt;=Wirtschaftlichkeit!$K$8*Eingabemaske!$B$18),$C38,"0"))</f>
        <v>12.739122166763016</v>
      </c>
      <c r="AV38" s="222">
        <v>2409</v>
      </c>
      <c r="AW38" s="224">
        <f t="shared" si="13"/>
        <v>929.95591817370018</v>
      </c>
      <c r="AX38" s="222">
        <v>2409</v>
      </c>
      <c r="AY38" s="226">
        <f t="shared" si="14"/>
        <v>12.739122166763016</v>
      </c>
      <c r="AZ38" s="312">
        <v>2409</v>
      </c>
      <c r="BA38" s="286">
        <f>AU38*Wirtschaftlichkeit!$K$5/Wirtschaftlichkeit!$K$7</f>
        <v>5</v>
      </c>
      <c r="BB38" s="284">
        <f t="shared" si="15"/>
        <v>365</v>
      </c>
      <c r="BD38" s="222">
        <v>2409</v>
      </c>
      <c r="BE38" s="225">
        <f>IF($C38&gt;=Wirtschaftlichkeit!$L$8,Wirtschaftlichkeit!$L$8,IF(AND($C38&lt;=Wirtschaftlichkeit!$L$8,$C38&gt;=Wirtschaftlichkeit!$L$8*Eingabemaske!$B$18),$C38,"0"))</f>
        <v>14.87189090675227</v>
      </c>
      <c r="BF38" s="222">
        <v>2409</v>
      </c>
      <c r="BG38" s="224">
        <f t="shared" si="16"/>
        <v>1085.6480361929157</v>
      </c>
      <c r="BH38" s="222">
        <v>2409</v>
      </c>
      <c r="BI38" s="226">
        <f t="shared" si="17"/>
        <v>14.87189090675227</v>
      </c>
      <c r="BJ38" s="312">
        <v>2409</v>
      </c>
      <c r="BK38" s="286">
        <f>BE38*Wirtschaftlichkeit!$L$5/Wirtschaftlichkeit!$L$7</f>
        <v>6</v>
      </c>
      <c r="BL38" s="284">
        <f t="shared" si="18"/>
        <v>438</v>
      </c>
      <c r="BN38" s="222">
        <v>2409</v>
      </c>
      <c r="BO38" s="225">
        <f>IF($C38&gt;=Wirtschaftlichkeit!$M$8,Wirtschaftlichkeit!$M$8,IF(AND($C38&lt;=Wirtschaftlichkeit!$M$8,$C38&gt;=Wirtschaftlichkeit!$M$8*Eingabemaske!$B$18),$C38,"0"))</f>
        <v>16.948500863015312</v>
      </c>
      <c r="BP38" s="222">
        <v>2409</v>
      </c>
      <c r="BQ38" s="224">
        <f t="shared" si="19"/>
        <v>1237.2405630001178</v>
      </c>
      <c r="BR38" s="222">
        <v>2409</v>
      </c>
      <c r="BS38" s="226">
        <f t="shared" si="20"/>
        <v>16.948500863015312</v>
      </c>
      <c r="BT38" s="312">
        <v>2409</v>
      </c>
      <c r="BU38" s="286">
        <f>BO38*Wirtschaftlichkeit!$M$5/Wirtschaftlichkeit!$M$7</f>
        <v>7</v>
      </c>
      <c r="BV38" s="284">
        <f t="shared" si="21"/>
        <v>511</v>
      </c>
      <c r="BX38" s="222">
        <v>2409</v>
      </c>
      <c r="BY38" s="225">
        <f>IF($C38&gt;=Wirtschaftlichkeit!$N$8,Wirtschaftlichkeit!$N$8,IF(AND($C38&lt;=Wirtschaftlichkeit!$N$8,$C38&gt;=Wirtschaftlichkeit!$N$8*Eingabemaske!$B$18),$C38,"0"))</f>
        <v>17.414910000000003</v>
      </c>
      <c r="BZ38" s="222">
        <v>2409</v>
      </c>
      <c r="CA38" s="224">
        <f t="shared" si="22"/>
        <v>1268.3417850000003</v>
      </c>
      <c r="CB38" s="222">
        <v>2409</v>
      </c>
      <c r="CC38" s="226">
        <f t="shared" si="23"/>
        <v>17.414910000000003</v>
      </c>
      <c r="CD38" s="312">
        <v>2409</v>
      </c>
      <c r="CE38" s="286">
        <f>BY38*Wirtschaftlichkeit!$N$5/Wirtschaftlichkeit!$N$7</f>
        <v>7.3411564016450672</v>
      </c>
      <c r="CF38" s="284">
        <f t="shared" si="24"/>
        <v>534.662275855958</v>
      </c>
      <c r="CH38" s="222">
        <v>2409</v>
      </c>
      <c r="CI38" s="225">
        <f>IF($C38&gt;=Wirtschaftlichkeit!$O$8,Wirtschaftlichkeit!$O$8,IF(AND($C38&lt;=Wirtschaftlichkeit!$O$8,$C38&gt;=Wirtschaftlichkeit!$O$8*Eingabemaske!$B$18),$C38,"0"))</f>
        <v>17.414910000000003</v>
      </c>
      <c r="CJ38" s="222">
        <v>2409</v>
      </c>
      <c r="CK38" s="224">
        <f t="shared" si="25"/>
        <v>1268.3417850000003</v>
      </c>
      <c r="CL38" s="222">
        <v>2409</v>
      </c>
      <c r="CM38" s="226">
        <f t="shared" si="26"/>
        <v>17.414910000000003</v>
      </c>
      <c r="CN38" s="312">
        <v>2409</v>
      </c>
      <c r="CO38" s="286">
        <f>CI38*Wirtschaftlichkeit!$O$5/Wirtschaftlichkeit!$O$7</f>
        <v>7.4754782242139557</v>
      </c>
      <c r="CP38" s="284">
        <f t="shared" si="27"/>
        <v>544.44504132540214</v>
      </c>
      <c r="CR38" s="222">
        <v>2409</v>
      </c>
      <c r="CS38" s="225">
        <f>IF($C38&gt;=Wirtschaftlichkeit!$P$8,Wirtschaftlichkeit!$P$8,IF(AND($C38&lt;=Wirtschaftlichkeit!$P$8,$C38&gt;=Wirtschaftlichkeit!$P$8*Eingabemaske!$B$18),$C38,"0"))</f>
        <v>17.414910000000003</v>
      </c>
      <c r="CT38" s="222">
        <v>2409</v>
      </c>
      <c r="CU38" s="224">
        <f t="shared" si="28"/>
        <v>1268.3417850000003</v>
      </c>
      <c r="CV38" s="222">
        <v>2409</v>
      </c>
      <c r="CW38" s="226">
        <f t="shared" si="29"/>
        <v>17.414910000000003</v>
      </c>
      <c r="CX38" s="312">
        <v>2409</v>
      </c>
      <c r="CY38" s="286">
        <f>CS38*Wirtschaftlichkeit!$P$5/Wirtschaftlichkeit!$P$7</f>
        <v>7.598353070506076</v>
      </c>
      <c r="CZ38" s="284">
        <f t="shared" si="30"/>
        <v>553.39411438278501</v>
      </c>
      <c r="DB38" s="222">
        <v>2409</v>
      </c>
      <c r="DC38" s="225">
        <f>IF($C38&gt;=Wirtschaftlichkeit!$Q$8,Wirtschaftlichkeit!$Q$8,IF(AND($C38&lt;=Wirtschaftlichkeit!$Q$8,$C38&gt;=Wirtschaftlichkeit!$Q$8*Eingabemaske!$B$18),$C38,"0"))</f>
        <v>17.414910000000003</v>
      </c>
      <c r="DD38" s="222">
        <v>2409</v>
      </c>
      <c r="DE38" s="224">
        <f t="shared" si="31"/>
        <v>1268.3417850000003</v>
      </c>
      <c r="DF38" s="222">
        <v>2409</v>
      </c>
      <c r="DG38" s="226">
        <f t="shared" si="32"/>
        <v>17.414910000000003</v>
      </c>
      <c r="DH38" s="312">
        <v>2409</v>
      </c>
      <c r="DI38" s="286">
        <f>DC38*Wirtschaftlichkeit!$Q$5/Wirtschaftlichkeit!$Q$7</f>
        <v>7.9737542174333393</v>
      </c>
      <c r="DJ38" s="284">
        <f t="shared" si="33"/>
        <v>580.73487932413548</v>
      </c>
      <c r="DL38" s="222">
        <v>2409</v>
      </c>
      <c r="DM38" s="225">
        <f>IF($C38&gt;=Wirtschaftlichkeit!$R$8,Wirtschaftlichkeit!$R$8,IF(AND($C38&lt;=Wirtschaftlichkeit!$R$8,$C38&gt;=Wirtschaftlichkeit!$R$8*Eingabemaske!$B$18),$C38,"0"))</f>
        <v>17.414910000000003</v>
      </c>
      <c r="DN38" s="222">
        <v>2409</v>
      </c>
      <c r="DO38" s="224">
        <f t="shared" si="34"/>
        <v>1268.3417850000003</v>
      </c>
      <c r="DP38" s="222">
        <v>2409</v>
      </c>
      <c r="DQ38" s="226">
        <f t="shared" si="35"/>
        <v>17.414910000000003</v>
      </c>
      <c r="DR38" s="312">
        <v>2409</v>
      </c>
      <c r="DS38" s="286">
        <f>DM38*Wirtschaftlichkeit!$R$5/Wirtschaftlichkeit!$R$7</f>
        <v>8.0790439189917542</v>
      </c>
      <c r="DT38" s="284">
        <f t="shared" si="36"/>
        <v>588.40321226508775</v>
      </c>
      <c r="DV38" s="222">
        <v>2409</v>
      </c>
      <c r="DW38" s="225">
        <f>IF($C38&gt;=Wirtschaftlichkeit!$S$8,Wirtschaftlichkeit!$S$8,IF(AND($C38&lt;=Wirtschaftlichkeit!$S$8,$C38&gt;=Wirtschaftlichkeit!$S$8*Eingabemaske!$B$18),$C38,"0"))</f>
        <v>17.414910000000003</v>
      </c>
      <c r="DX38" s="222">
        <v>2409</v>
      </c>
      <c r="DY38" s="224">
        <f t="shared" si="37"/>
        <v>1268.3417850000003</v>
      </c>
      <c r="DZ38" s="222">
        <v>2409</v>
      </c>
      <c r="EA38" s="226">
        <f t="shared" si="38"/>
        <v>17.414910000000003</v>
      </c>
      <c r="EB38" s="312">
        <v>2409</v>
      </c>
      <c r="EC38" s="286">
        <f>DW38*Wirtschaftlichkeit!$S$5/Wirtschaftlichkeit!$S$7</f>
        <v>8.1775236261419053</v>
      </c>
      <c r="ED38" s="284">
        <f t="shared" si="39"/>
        <v>595.57556788180341</v>
      </c>
      <c r="EF38" s="222">
        <v>2409</v>
      </c>
      <c r="EG38" s="225">
        <f>IF($C38&gt;=Wirtschaftlichkeit!$T$8,Wirtschaftlichkeit!$T$8,IF(AND($C38&lt;=Wirtschaftlichkeit!$T$8,$C38&gt;=Wirtschaftlichkeit!$T$8*Eingabemaske!$B$18),$C38,"0"))</f>
        <v>17.414910000000003</v>
      </c>
      <c r="EH38" s="222">
        <v>2409</v>
      </c>
      <c r="EI38" s="224">
        <f t="shared" si="40"/>
        <v>1268.3417850000003</v>
      </c>
      <c r="EJ38" s="222">
        <v>2409</v>
      </c>
      <c r="EK38" s="226">
        <f t="shared" si="41"/>
        <v>17.414910000000003</v>
      </c>
      <c r="EL38" s="312">
        <v>2409</v>
      </c>
      <c r="EM38" s="286">
        <f>EG38*Wirtschaftlichkeit!$T$5/Wirtschaftlichkeit!$T$7</f>
        <v>8.2701185204941012</v>
      </c>
      <c r="EN38" s="284">
        <f t="shared" si="42"/>
        <v>602.31932788886354</v>
      </c>
      <c r="EP38" s="222">
        <v>2409</v>
      </c>
      <c r="EQ38" s="225">
        <f>IF($C38&gt;=Wirtschaftlichkeit!$U$8,Wirtschaftlichkeit!$U$8,IF(AND($C38&lt;=Wirtschaftlichkeit!$U$8,$C38&gt;=Wirtschaftlichkeit!$U$8*Eingabemaske!$B$18),$C38,"0"))</f>
        <v>17.414910000000003</v>
      </c>
      <c r="ER38" s="222">
        <v>2409</v>
      </c>
      <c r="ES38" s="224">
        <f t="shared" si="43"/>
        <v>1268.3417850000003</v>
      </c>
      <c r="ET38" s="222">
        <v>2409</v>
      </c>
      <c r="EU38" s="226">
        <f t="shared" si="44"/>
        <v>17.414910000000003</v>
      </c>
      <c r="EV38" s="312">
        <v>2409</v>
      </c>
      <c r="EW38" s="286">
        <f>EQ38*Wirtschaftlichkeit!$U$5/Wirtschaftlichkeit!$U$7</f>
        <v>8.3575721188905447</v>
      </c>
      <c r="EX38" s="284">
        <f t="shared" si="45"/>
        <v>608.68864321089598</v>
      </c>
      <c r="EZ38" s="222">
        <v>2409</v>
      </c>
      <c r="FA38" s="225">
        <f>IF($C38&gt;=Wirtschaftlichkeit!$V$8,Wirtschaftlichkeit!$V$8,IF(AND($C38&lt;=Wirtschaftlichkeit!$V$8,$C38&gt;=Wirtschaftlichkeit!$V$8*Eingabemaske!$B$18),$C38,"0"))</f>
        <v>17.414910000000003</v>
      </c>
      <c r="FB38" s="222">
        <v>2409</v>
      </c>
      <c r="FC38" s="224">
        <f t="shared" si="46"/>
        <v>1268.3417850000003</v>
      </c>
      <c r="FD38" s="222">
        <v>2409</v>
      </c>
      <c r="FE38" s="226">
        <f t="shared" si="47"/>
        <v>17.414910000000003</v>
      </c>
      <c r="FF38" s="312">
        <v>2409</v>
      </c>
      <c r="FG38" s="286">
        <f>FA38*Wirtschaftlichkeit!$V$5/Wirtschaftlichkeit!$V$7</f>
        <v>8.4404914855307762</v>
      </c>
      <c r="FH38" s="284">
        <f t="shared" si="48"/>
        <v>614.72772681773301</v>
      </c>
      <c r="FJ38" s="222">
        <v>2409</v>
      </c>
      <c r="FK38" s="225">
        <f>IF($C38&gt;=Wirtschaftlichkeit!$W$8,Wirtschaftlichkeit!$W$8,IF(AND($C38&lt;=Wirtschaftlichkeit!$W$8,$C38&gt;=Wirtschaftlichkeit!$W$8*Eingabemaske!$B$18),$C38,"0"))</f>
        <v>17.414910000000003</v>
      </c>
      <c r="FL38" s="222">
        <v>2409</v>
      </c>
      <c r="FM38" s="224">
        <f t="shared" si="49"/>
        <v>635.64421500000014</v>
      </c>
      <c r="FN38" s="222">
        <v>2409</v>
      </c>
      <c r="FO38" s="226">
        <f t="shared" si="50"/>
        <v>17.414910000000003</v>
      </c>
      <c r="FP38" s="312">
        <v>2409</v>
      </c>
      <c r="FQ38" s="286">
        <f>FK38*Wirtschaftlichkeit!$W$5/Wirtschaftlichkeit!$W$7</f>
        <v>8.5193791086462891</v>
      </c>
      <c r="FR38" s="284">
        <f t="shared" si="51"/>
        <v>310.95733746558955</v>
      </c>
      <c r="FT38" s="222">
        <v>2409</v>
      </c>
      <c r="FU38" s="225" t="str">
        <f>IF($C38&gt;=Wirtschaftlichkeit!$X$8,Wirtschaftlichkeit!$X$8,IF(AND($C38&lt;=Wirtschaftlichkeit!$X$8,$C38&gt;=Wirtschaftlichkeit!$X$8*Eingabemaske!$B$18),$C38,"0"))</f>
        <v>0</v>
      </c>
      <c r="FV38" s="222">
        <v>2409</v>
      </c>
      <c r="FW38" s="224">
        <f t="shared" si="52"/>
        <v>0</v>
      </c>
      <c r="FX38" s="222">
        <v>2409</v>
      </c>
      <c r="FY38" s="226" t="str">
        <f t="shared" si="53"/>
        <v xml:space="preserve"> </v>
      </c>
      <c r="FZ38" s="312">
        <v>2409</v>
      </c>
      <c r="GA38" s="286">
        <f>FU38*Wirtschaftlichkeit!$X$5/Wirtschaftlichkeit!$X$7</f>
        <v>0</v>
      </c>
      <c r="GB38" s="284">
        <f t="shared" si="54"/>
        <v>0</v>
      </c>
      <c r="GD38" s="222">
        <v>2409</v>
      </c>
      <c r="GE38" s="225" t="str">
        <f>IF($C38&gt;=Wirtschaftlichkeit!$Y$8,Wirtschaftlichkeit!$Y$8,IF(AND($C38&lt;=Wirtschaftlichkeit!$Y$8,$C38&gt;=Wirtschaftlichkeit!$Y$8*Eingabemaske!$B$18),$C38,"0"))</f>
        <v>0</v>
      </c>
      <c r="GF38" s="222">
        <v>2409</v>
      </c>
      <c r="GG38" s="224">
        <f t="shared" si="55"/>
        <v>0</v>
      </c>
      <c r="GH38" s="222">
        <v>2409</v>
      </c>
      <c r="GI38" s="226" t="str">
        <f t="shared" si="56"/>
        <v xml:space="preserve"> </v>
      </c>
      <c r="GJ38" s="312">
        <v>2409</v>
      </c>
      <c r="GK38" s="286">
        <f>GE38*Wirtschaftlichkeit!$Y$5/Wirtschaftlichkeit!$Y$7</f>
        <v>0</v>
      </c>
      <c r="GL38" s="284">
        <f t="shared" si="57"/>
        <v>0</v>
      </c>
      <c r="GN38" s="222">
        <v>2409</v>
      </c>
      <c r="GO38" s="225" t="str">
        <f>IF($C38&gt;=Wirtschaftlichkeit!$Z$8,Wirtschaftlichkeit!$Z$8,IF(AND($C38&lt;=Wirtschaftlichkeit!$Z$8,$C38&gt;=Wirtschaftlichkeit!$Z$8*Eingabemaske!$B$18),$C38,"0"))</f>
        <v>0</v>
      </c>
      <c r="GP38" s="222">
        <v>2409</v>
      </c>
      <c r="GQ38" s="224">
        <f t="shared" si="58"/>
        <v>0</v>
      </c>
      <c r="GR38" s="222">
        <v>2409</v>
      </c>
      <c r="GS38" s="226" t="str">
        <f t="shared" si="59"/>
        <v xml:space="preserve"> </v>
      </c>
      <c r="GT38" s="312">
        <v>2409</v>
      </c>
      <c r="GU38" s="286">
        <f>GO38*Wirtschaftlichkeit!$Z$5/Wirtschaftlichkeit!$Z$7</f>
        <v>0</v>
      </c>
      <c r="GV38" s="284">
        <f t="shared" si="60"/>
        <v>0</v>
      </c>
      <c r="GW38" s="266"/>
      <c r="GX38" s="258">
        <v>2409</v>
      </c>
      <c r="GY38" s="270">
        <f>IF(Berechnung_Diagramme!$C$28=Berechnungen_Lastgang!$F$2,Berechnungen_Lastgang!G38,IF(Berechnung_Diagramme!$C$28=Berechnungen_Lastgang!$P$2,Berechnungen_Lastgang!Q38,IF(Berechnung_Diagramme!$C$28=Berechnungen_Lastgang!$Z$2,Berechnungen_Lastgang!AA38,IF(Berechnung_Diagramme!$C$28=Berechnungen_Lastgang!$AJ$2,Berechnungen_Lastgang!AK38,IF(Berechnung_Diagramme!$C$28=Berechnungen_Lastgang!$AT$2,Berechnungen_Lastgang!AU38,IF(Berechnung_Diagramme!$C$28=Berechnungen_Lastgang!$BD$2,Berechnungen_Lastgang!BE38,IF(Berechnung_Diagramme!$C$28=Berechnungen_Lastgang!$BN$2,Berechnungen_Lastgang!BO38,IF(Berechnung_Diagramme!$C$28=Berechnungen_Lastgang!$BX$2,Berechnungen_Lastgang!BY38,IF(Berechnung_Diagramme!$C$28=Berechnungen_Lastgang!$CH$2,Berechnungen_Lastgang!CI38,IF(Berechnung_Diagramme!$C$28=Berechnungen_Lastgang!$CR$2,Berechnungen_Lastgang!CS38,IF(Berechnung_Diagramme!$C$28=Berechnungen_Lastgang!$DB$2,Berechnungen_Lastgang!DC38,IF(Berechnung_Diagramme!$C$28=Berechnungen_Lastgang!$DL$2,Berechnungen_Lastgang!DM38,IF(Berechnung_Diagramme!$C$28=Berechnungen_Lastgang!$DV$2,Berechnungen_Lastgang!DW38,IF(Berechnung_Diagramme!$C$28=Berechnungen_Lastgang!$EF$2,Berechnungen_Lastgang!EG38,IF(Berechnung_Diagramme!$C$28=Berechnungen_Lastgang!$EP$2,Berechnungen_Lastgang!EQ38,IF(Berechnung_Diagramme!$C$28=Berechnungen_Lastgang!$EZ$2,Berechnungen_Lastgang!FA38,IF(Berechnung_Diagramme!$C$28=Berechnungen_Lastgang!$FJ$2,Berechnungen_Lastgang!FK38,IF(Berechnung_Diagramme!$C$28=Berechnungen_Lastgang!$FT$2,Berechnungen_Lastgang!FU38,IF(Berechnung_Diagramme!$C$28=Berechnungen_Lastgang!$GD$2,Berechnungen_Lastgang!GE38,IF(Berechnung_Diagramme!$C$28=Berechnungen_Lastgang!$GN$2,Berechnungen_Lastgang!GO38,""))))))))))))))))))))</f>
        <v>17.414910000000003</v>
      </c>
    </row>
    <row r="39" spans="2:207" ht="14.45" x14ac:dyDescent="0.3">
      <c r="B39" s="64">
        <v>2482</v>
      </c>
      <c r="C39" s="67">
        <f>C38+((C40-C38)/(B40-B38))*(B39-B38)</f>
        <v>17.334180000000003</v>
      </c>
      <c r="D39" s="66">
        <f t="shared" si="61"/>
        <v>1262.4484950000001</v>
      </c>
      <c r="F39" s="64">
        <v>2482</v>
      </c>
      <c r="G39" s="225">
        <f>IF($C39&gt;=Wirtschaftlichkeit!$G$8,Wirtschaftlichkeit!$G$8,IF(AND($C39&lt;=Wirtschaftlichkeit!$G$8,$C39&gt;=Wirtschaftlichkeit!$G$8*Eingabemaske!$B$18),$C39,"0"))</f>
        <v>2.8333333333333335</v>
      </c>
      <c r="H39" s="64">
        <v>2482</v>
      </c>
      <c r="I39" s="66">
        <f t="shared" si="62"/>
        <v>206.83333333333334</v>
      </c>
      <c r="J39" s="64">
        <v>2482</v>
      </c>
      <c r="K39" s="71">
        <f t="shared" si="63"/>
        <v>2.8333333333333335</v>
      </c>
      <c r="L39" s="312">
        <v>2482</v>
      </c>
      <c r="M39" s="286">
        <f>G39*Wirtschaftlichkeit!$G$5/Wirtschaftlichkeit!$G$7</f>
        <v>1</v>
      </c>
      <c r="N39" s="284">
        <f t="shared" si="3"/>
        <v>73</v>
      </c>
      <c r="P39" s="222">
        <v>2482</v>
      </c>
      <c r="Q39" s="225">
        <f>IF($C39&gt;=Wirtschaftlichkeit!$H$8,Wirtschaftlichkeit!$H$8,IF(AND($C39&lt;=Wirtschaftlichkeit!$H$8,$C39&gt;=Wirtschaftlichkeit!$H$8*Eingabemaske!$B$18),$C39,"0"))</f>
        <v>5.5876288659793811</v>
      </c>
      <c r="R39" s="222">
        <v>2482</v>
      </c>
      <c r="S39" s="224">
        <f t="shared" si="4"/>
        <v>407.89690721649481</v>
      </c>
      <c r="T39" s="222">
        <v>2482</v>
      </c>
      <c r="U39" s="226">
        <f t="shared" si="5"/>
        <v>5.5876288659793811</v>
      </c>
      <c r="V39" s="312">
        <v>2482</v>
      </c>
      <c r="W39" s="286">
        <f>Q39*Wirtschaftlichkeit!$H$5/Wirtschaftlichkeit!$H$7</f>
        <v>2</v>
      </c>
      <c r="X39" s="284">
        <f t="shared" si="6"/>
        <v>146</v>
      </c>
      <c r="Z39" s="222">
        <v>2482</v>
      </c>
      <c r="AA39" s="225">
        <f>IF($C39&gt;=Wirtschaftlichkeit!$I$8,Wirtschaftlichkeit!$I$8,IF(AND($C39&lt;=Wirtschaftlichkeit!$I$8,$C39&gt;=Wirtschaftlichkeit!$I$8*Eingabemaske!$B$18),$C39,"0"))</f>
        <v>8.2471643149712612</v>
      </c>
      <c r="AB39" s="222">
        <v>2482</v>
      </c>
      <c r="AC39" s="224">
        <f t="shared" si="7"/>
        <v>602.04299499290209</v>
      </c>
      <c r="AD39" s="222">
        <v>2482</v>
      </c>
      <c r="AE39" s="226">
        <f t="shared" si="8"/>
        <v>8.2471643149712612</v>
      </c>
      <c r="AF39" s="312">
        <v>2482</v>
      </c>
      <c r="AG39" s="286">
        <f>AA39*Wirtschaftlichkeit!$I$5/Wirtschaftlichkeit!$I$7</f>
        <v>3.0000000000000004</v>
      </c>
      <c r="AH39" s="284">
        <f t="shared" si="9"/>
        <v>219.00000000000003</v>
      </c>
      <c r="AJ39" s="222">
        <v>2482</v>
      </c>
      <c r="AK39" s="225">
        <f>IF($C39&gt;=Wirtschaftlichkeit!$J$8,Wirtschaftlichkeit!$J$8,IF(AND($C39&lt;=Wirtschaftlichkeit!$J$8,$C39&gt;=Wirtschaftlichkeit!$J$8*Eingabemaske!$B$18),$C39,"0"))</f>
        <v>10.537455322965799</v>
      </c>
      <c r="AL39" s="222">
        <v>2482</v>
      </c>
      <c r="AM39" s="224">
        <f t="shared" si="10"/>
        <v>769.23423857650334</v>
      </c>
      <c r="AN39" s="222">
        <v>2482</v>
      </c>
      <c r="AO39" s="226">
        <f t="shared" si="11"/>
        <v>10.537455322965799</v>
      </c>
      <c r="AP39" s="312">
        <v>2482</v>
      </c>
      <c r="AQ39" s="286">
        <f>AK39*Wirtschaftlichkeit!$J$5/Wirtschaftlichkeit!$J$7</f>
        <v>4</v>
      </c>
      <c r="AR39" s="284">
        <f t="shared" si="12"/>
        <v>292</v>
      </c>
      <c r="AT39" s="222">
        <v>2482</v>
      </c>
      <c r="AU39" s="225">
        <f>IF($C39&gt;=Wirtschaftlichkeit!$K$8,Wirtschaftlichkeit!$K$8,IF(AND($C39&lt;=Wirtschaftlichkeit!$K$8,$C39&gt;=Wirtschaftlichkeit!$K$8*Eingabemaske!$B$18),$C39,"0"))</f>
        <v>12.739122166763016</v>
      </c>
      <c r="AV39" s="222">
        <v>2482</v>
      </c>
      <c r="AW39" s="224">
        <f t="shared" si="13"/>
        <v>929.95591817370018</v>
      </c>
      <c r="AX39" s="222">
        <v>2482</v>
      </c>
      <c r="AY39" s="226">
        <f t="shared" si="14"/>
        <v>12.739122166763016</v>
      </c>
      <c r="AZ39" s="312">
        <v>2482</v>
      </c>
      <c r="BA39" s="286">
        <f>AU39*Wirtschaftlichkeit!$K$5/Wirtschaftlichkeit!$K$7</f>
        <v>5</v>
      </c>
      <c r="BB39" s="284">
        <f t="shared" si="15"/>
        <v>365</v>
      </c>
      <c r="BD39" s="222">
        <v>2482</v>
      </c>
      <c r="BE39" s="225">
        <f>IF($C39&gt;=Wirtschaftlichkeit!$L$8,Wirtschaftlichkeit!$L$8,IF(AND($C39&lt;=Wirtschaftlichkeit!$L$8,$C39&gt;=Wirtschaftlichkeit!$L$8*Eingabemaske!$B$18),$C39,"0"))</f>
        <v>14.87189090675227</v>
      </c>
      <c r="BF39" s="222">
        <v>2482</v>
      </c>
      <c r="BG39" s="224">
        <f t="shared" si="16"/>
        <v>1085.6480361929157</v>
      </c>
      <c r="BH39" s="222">
        <v>2482</v>
      </c>
      <c r="BI39" s="226">
        <f t="shared" si="17"/>
        <v>14.87189090675227</v>
      </c>
      <c r="BJ39" s="312">
        <v>2482</v>
      </c>
      <c r="BK39" s="286">
        <f>BE39*Wirtschaftlichkeit!$L$5/Wirtschaftlichkeit!$L$7</f>
        <v>6</v>
      </c>
      <c r="BL39" s="284">
        <f t="shared" si="18"/>
        <v>438</v>
      </c>
      <c r="BN39" s="222">
        <v>2482</v>
      </c>
      <c r="BO39" s="225">
        <f>IF($C39&gt;=Wirtschaftlichkeit!$M$8,Wirtschaftlichkeit!$M$8,IF(AND($C39&lt;=Wirtschaftlichkeit!$M$8,$C39&gt;=Wirtschaftlichkeit!$M$8*Eingabemaske!$B$18),$C39,"0"))</f>
        <v>16.948500863015312</v>
      </c>
      <c r="BP39" s="222">
        <v>2482</v>
      </c>
      <c r="BQ39" s="224">
        <f t="shared" si="19"/>
        <v>1237.2405630001178</v>
      </c>
      <c r="BR39" s="222">
        <v>2482</v>
      </c>
      <c r="BS39" s="226">
        <f t="shared" si="20"/>
        <v>16.948500863015312</v>
      </c>
      <c r="BT39" s="312">
        <v>2482</v>
      </c>
      <c r="BU39" s="286">
        <f>BO39*Wirtschaftlichkeit!$M$5/Wirtschaftlichkeit!$M$7</f>
        <v>7</v>
      </c>
      <c r="BV39" s="284">
        <f t="shared" si="21"/>
        <v>511</v>
      </c>
      <c r="BX39" s="222">
        <v>2482</v>
      </c>
      <c r="BY39" s="225">
        <f>IF($C39&gt;=Wirtschaftlichkeit!$N$8,Wirtschaftlichkeit!$N$8,IF(AND($C39&lt;=Wirtschaftlichkeit!$N$8,$C39&gt;=Wirtschaftlichkeit!$N$8*Eingabemaske!$B$18),$C39,"0"))</f>
        <v>17.334180000000003</v>
      </c>
      <c r="BZ39" s="222">
        <v>2482</v>
      </c>
      <c r="CA39" s="224">
        <f t="shared" si="22"/>
        <v>1262.4484950000001</v>
      </c>
      <c r="CB39" s="222">
        <v>2482</v>
      </c>
      <c r="CC39" s="226">
        <f t="shared" si="23"/>
        <v>17.334180000000003</v>
      </c>
      <c r="CD39" s="312">
        <v>2482</v>
      </c>
      <c r="CE39" s="286">
        <f>BY39*Wirtschaftlichkeit!$N$5/Wirtschaftlichkeit!$N$7</f>
        <v>7.3071251286551515</v>
      </c>
      <c r="CF39" s="284">
        <f t="shared" si="24"/>
        <v>532.17799292769416</v>
      </c>
      <c r="CH39" s="222">
        <v>2482</v>
      </c>
      <c r="CI39" s="225">
        <f>IF($C39&gt;=Wirtschaftlichkeit!$O$8,Wirtschaftlichkeit!$O$8,IF(AND($C39&lt;=Wirtschaftlichkeit!$O$8,$C39&gt;=Wirtschaftlichkeit!$O$8*Eingabemaske!$B$18),$C39,"0"))</f>
        <v>17.334180000000003</v>
      </c>
      <c r="CJ39" s="222">
        <v>2482</v>
      </c>
      <c r="CK39" s="224">
        <f t="shared" si="25"/>
        <v>1262.4484950000001</v>
      </c>
      <c r="CL39" s="222">
        <v>2482</v>
      </c>
      <c r="CM39" s="226">
        <f t="shared" si="26"/>
        <v>17.334180000000003</v>
      </c>
      <c r="CN39" s="312">
        <v>2482</v>
      </c>
      <c r="CO39" s="286">
        <f>CI39*Wirtschaftlichkeit!$O$5/Wirtschaftlichkeit!$O$7</f>
        <v>7.4408242778518563</v>
      </c>
      <c r="CP39" s="284">
        <f t="shared" si="27"/>
        <v>541.9153032409688</v>
      </c>
      <c r="CR39" s="222">
        <v>2482</v>
      </c>
      <c r="CS39" s="225">
        <f>IF($C39&gt;=Wirtschaftlichkeit!$P$8,Wirtschaftlichkeit!$P$8,IF(AND($C39&lt;=Wirtschaftlichkeit!$P$8,$C39&gt;=Wirtschaftlichkeit!$P$8*Eingabemaske!$B$18),$C39,"0"))</f>
        <v>17.334180000000003</v>
      </c>
      <c r="CT39" s="222">
        <v>2482</v>
      </c>
      <c r="CU39" s="224">
        <f t="shared" si="28"/>
        <v>1262.4484950000001</v>
      </c>
      <c r="CV39" s="222">
        <v>2482</v>
      </c>
      <c r="CW39" s="226">
        <f t="shared" si="29"/>
        <v>17.334180000000003</v>
      </c>
      <c r="CX39" s="312">
        <v>2482</v>
      </c>
      <c r="CY39" s="286">
        <f>CS39*Wirtschaftlichkeit!$P$5/Wirtschaftlichkeit!$P$7</f>
        <v>7.5631295153236513</v>
      </c>
      <c r="CZ39" s="284">
        <f t="shared" si="30"/>
        <v>550.82279485446804</v>
      </c>
      <c r="DB39" s="222">
        <v>2482</v>
      </c>
      <c r="DC39" s="225">
        <f>IF($C39&gt;=Wirtschaftlichkeit!$Q$8,Wirtschaftlichkeit!$Q$8,IF(AND($C39&lt;=Wirtschaftlichkeit!$Q$8,$C39&gt;=Wirtschaftlichkeit!$Q$8*Eingabemaske!$B$18),$C39,"0"))</f>
        <v>17.334180000000003</v>
      </c>
      <c r="DD39" s="222">
        <v>2482</v>
      </c>
      <c r="DE39" s="224">
        <f t="shared" si="31"/>
        <v>1262.4484950000001</v>
      </c>
      <c r="DF39" s="222">
        <v>2482</v>
      </c>
      <c r="DG39" s="226">
        <f t="shared" si="32"/>
        <v>17.334180000000003</v>
      </c>
      <c r="DH39" s="312">
        <v>2482</v>
      </c>
      <c r="DI39" s="286">
        <f>DC39*Wirtschaftlichkeit!$Q$5/Wirtschaftlichkeit!$Q$7</f>
        <v>7.9367904215840719</v>
      </c>
      <c r="DJ39" s="284">
        <f t="shared" si="33"/>
        <v>578.0365222271389</v>
      </c>
      <c r="DL39" s="222">
        <v>2482</v>
      </c>
      <c r="DM39" s="225">
        <f>IF($C39&gt;=Wirtschaftlichkeit!$R$8,Wirtschaftlichkeit!$R$8,IF(AND($C39&lt;=Wirtschaftlichkeit!$R$8,$C39&gt;=Wirtschaftlichkeit!$R$8*Eingabemaske!$B$18),$C39,"0"))</f>
        <v>17.334180000000003</v>
      </c>
      <c r="DN39" s="222">
        <v>2482</v>
      </c>
      <c r="DO39" s="224">
        <f t="shared" si="34"/>
        <v>1262.4484950000001</v>
      </c>
      <c r="DP39" s="222">
        <v>2482</v>
      </c>
      <c r="DQ39" s="226">
        <f t="shared" si="35"/>
        <v>17.334180000000003</v>
      </c>
      <c r="DR39" s="312">
        <v>2482</v>
      </c>
      <c r="DS39" s="286">
        <f>DM39*Wirtschaftlichkeit!$R$5/Wirtschaftlichkeit!$R$7</f>
        <v>8.0415920334763999</v>
      </c>
      <c r="DT39" s="284">
        <f t="shared" si="36"/>
        <v>585.66922462246669</v>
      </c>
      <c r="DV39" s="222">
        <v>2482</v>
      </c>
      <c r="DW39" s="225">
        <f>IF($C39&gt;=Wirtschaftlichkeit!$S$8,Wirtschaftlichkeit!$S$8,IF(AND($C39&lt;=Wirtschaftlichkeit!$S$8,$C39&gt;=Wirtschaftlichkeit!$S$8*Eingabemaske!$B$18),$C39,"0"))</f>
        <v>17.334180000000003</v>
      </c>
      <c r="DX39" s="222">
        <v>2482</v>
      </c>
      <c r="DY39" s="224">
        <f t="shared" si="37"/>
        <v>1262.4484950000001</v>
      </c>
      <c r="DZ39" s="222">
        <v>2482</v>
      </c>
      <c r="EA39" s="226">
        <f t="shared" si="38"/>
        <v>17.334180000000003</v>
      </c>
      <c r="EB39" s="312">
        <v>2482</v>
      </c>
      <c r="EC39" s="286">
        <f>DW39*Wirtschaftlichkeit!$S$5/Wirtschaftlichkeit!$S$7</f>
        <v>8.1396152199348997</v>
      </c>
      <c r="ED39" s="284">
        <f t="shared" si="39"/>
        <v>592.80825422869202</v>
      </c>
      <c r="EF39" s="222">
        <v>2482</v>
      </c>
      <c r="EG39" s="225">
        <f>IF($C39&gt;=Wirtschaftlichkeit!$T$8,Wirtschaftlichkeit!$T$8,IF(AND($C39&lt;=Wirtschaftlichkeit!$T$8,$C39&gt;=Wirtschaftlichkeit!$T$8*Eingabemaske!$B$18),$C39,"0"))</f>
        <v>17.334180000000003</v>
      </c>
      <c r="EH39" s="222">
        <v>2482</v>
      </c>
      <c r="EI39" s="224">
        <f t="shared" si="40"/>
        <v>1262.4484950000001</v>
      </c>
      <c r="EJ39" s="222">
        <v>2482</v>
      </c>
      <c r="EK39" s="226">
        <f t="shared" si="41"/>
        <v>17.334180000000003</v>
      </c>
      <c r="EL39" s="312">
        <v>2482</v>
      </c>
      <c r="EM39" s="286">
        <f>EG39*Wirtschaftlichkeit!$T$5/Wirtschaftlichkeit!$T$7</f>
        <v>8.2317808737213376</v>
      </c>
      <c r="EN39" s="284">
        <f t="shared" si="42"/>
        <v>599.52067967445169</v>
      </c>
      <c r="EP39" s="222">
        <v>2482</v>
      </c>
      <c r="EQ39" s="225">
        <f>IF($C39&gt;=Wirtschaftlichkeit!$U$8,Wirtschaftlichkeit!$U$8,IF(AND($C39&lt;=Wirtschaftlichkeit!$U$8,$C39&gt;=Wirtschaftlichkeit!$U$8*Eingabemaske!$B$18),$C39,"0"))</f>
        <v>17.334180000000003</v>
      </c>
      <c r="ER39" s="222">
        <v>2482</v>
      </c>
      <c r="ES39" s="224">
        <f t="shared" si="43"/>
        <v>1262.4484950000001</v>
      </c>
      <c r="ET39" s="222">
        <v>2482</v>
      </c>
      <c r="EU39" s="226">
        <f t="shared" si="44"/>
        <v>17.334180000000003</v>
      </c>
      <c r="EV39" s="312">
        <v>2482</v>
      </c>
      <c r="EW39" s="286">
        <f>EQ39*Wirtschaftlichkeit!$U$5/Wirtschaftlichkeit!$U$7</f>
        <v>8.3188290649696217</v>
      </c>
      <c r="EX39" s="284">
        <f t="shared" si="45"/>
        <v>605.86040027466868</v>
      </c>
      <c r="EZ39" s="222">
        <v>2482</v>
      </c>
      <c r="FA39" s="225">
        <f>IF($C39&gt;=Wirtschaftlichkeit!$V$8,Wirtschaftlichkeit!$V$8,IF(AND($C39&lt;=Wirtschaftlichkeit!$V$8,$C39&gt;=Wirtschaftlichkeit!$V$8*Eingabemaske!$B$18),$C39,"0"))</f>
        <v>17.334180000000003</v>
      </c>
      <c r="FB39" s="222">
        <v>2482</v>
      </c>
      <c r="FC39" s="224">
        <f t="shared" si="46"/>
        <v>1262.4484950000001</v>
      </c>
      <c r="FD39" s="222">
        <v>2482</v>
      </c>
      <c r="FE39" s="226">
        <f t="shared" si="47"/>
        <v>17.334180000000003</v>
      </c>
      <c r="FF39" s="312">
        <v>2482</v>
      </c>
      <c r="FG39" s="286">
        <f>FA39*Wirtschaftlichkeit!$V$5/Wirtschaftlichkeit!$V$7</f>
        <v>8.4013640437221824</v>
      </c>
      <c r="FH39" s="284">
        <f t="shared" si="48"/>
        <v>611.87142356570553</v>
      </c>
      <c r="FJ39" s="222">
        <v>2482</v>
      </c>
      <c r="FK39" s="225" t="str">
        <f>IF($C39&gt;=Wirtschaftlichkeit!$W$8,Wirtschaftlichkeit!$W$8,IF(AND($C39&lt;=Wirtschaftlichkeit!$W$8,$C39&gt;=Wirtschaftlichkeit!$W$8*Eingabemaske!$B$18),$C39,"0"))</f>
        <v>0</v>
      </c>
      <c r="FL39" s="222">
        <v>2482</v>
      </c>
      <c r="FM39" s="224">
        <f t="shared" si="49"/>
        <v>0</v>
      </c>
      <c r="FN39" s="222">
        <v>2482</v>
      </c>
      <c r="FO39" s="226" t="str">
        <f t="shared" si="50"/>
        <v xml:space="preserve"> </v>
      </c>
      <c r="FP39" s="312">
        <v>2482</v>
      </c>
      <c r="FQ39" s="286">
        <f>FK39*Wirtschaftlichkeit!$W$5/Wirtschaftlichkeit!$W$7</f>
        <v>0</v>
      </c>
      <c r="FR39" s="284">
        <f t="shared" si="51"/>
        <v>0</v>
      </c>
      <c r="FT39" s="222">
        <v>2482</v>
      </c>
      <c r="FU39" s="225" t="str">
        <f>IF($C39&gt;=Wirtschaftlichkeit!$X$8,Wirtschaftlichkeit!$X$8,IF(AND($C39&lt;=Wirtschaftlichkeit!$X$8,$C39&gt;=Wirtschaftlichkeit!$X$8*Eingabemaske!$B$18),$C39,"0"))</f>
        <v>0</v>
      </c>
      <c r="FV39" s="222">
        <v>2482</v>
      </c>
      <c r="FW39" s="224">
        <f t="shared" si="52"/>
        <v>0</v>
      </c>
      <c r="FX39" s="222">
        <v>2482</v>
      </c>
      <c r="FY39" s="226" t="str">
        <f t="shared" si="53"/>
        <v xml:space="preserve"> </v>
      </c>
      <c r="FZ39" s="312">
        <v>2482</v>
      </c>
      <c r="GA39" s="286">
        <f>FU39*Wirtschaftlichkeit!$X$5/Wirtschaftlichkeit!$X$7</f>
        <v>0</v>
      </c>
      <c r="GB39" s="284">
        <f t="shared" si="54"/>
        <v>0</v>
      </c>
      <c r="GD39" s="222">
        <v>2482</v>
      </c>
      <c r="GE39" s="225" t="str">
        <f>IF($C39&gt;=Wirtschaftlichkeit!$Y$8,Wirtschaftlichkeit!$Y$8,IF(AND($C39&lt;=Wirtschaftlichkeit!$Y$8,$C39&gt;=Wirtschaftlichkeit!$Y$8*Eingabemaske!$B$18),$C39,"0"))</f>
        <v>0</v>
      </c>
      <c r="GF39" s="222">
        <v>2482</v>
      </c>
      <c r="GG39" s="224">
        <f t="shared" si="55"/>
        <v>0</v>
      </c>
      <c r="GH39" s="222">
        <v>2482</v>
      </c>
      <c r="GI39" s="226" t="str">
        <f t="shared" si="56"/>
        <v xml:space="preserve"> </v>
      </c>
      <c r="GJ39" s="312">
        <v>2482</v>
      </c>
      <c r="GK39" s="286">
        <f>GE39*Wirtschaftlichkeit!$Y$5/Wirtschaftlichkeit!$Y$7</f>
        <v>0</v>
      </c>
      <c r="GL39" s="284">
        <f t="shared" si="57"/>
        <v>0</v>
      </c>
      <c r="GN39" s="222">
        <v>2482</v>
      </c>
      <c r="GO39" s="225" t="str">
        <f>IF($C39&gt;=Wirtschaftlichkeit!$Z$8,Wirtschaftlichkeit!$Z$8,IF(AND($C39&lt;=Wirtschaftlichkeit!$Z$8,$C39&gt;=Wirtschaftlichkeit!$Z$8*Eingabemaske!$B$18),$C39,"0"))</f>
        <v>0</v>
      </c>
      <c r="GP39" s="222">
        <v>2482</v>
      </c>
      <c r="GQ39" s="224">
        <f t="shared" si="58"/>
        <v>0</v>
      </c>
      <c r="GR39" s="222">
        <v>2482</v>
      </c>
      <c r="GS39" s="226" t="str">
        <f t="shared" si="59"/>
        <v xml:space="preserve"> </v>
      </c>
      <c r="GT39" s="312">
        <v>2482</v>
      </c>
      <c r="GU39" s="286">
        <f>GO39*Wirtschaftlichkeit!$Z$5/Wirtschaftlichkeit!$Z$7</f>
        <v>0</v>
      </c>
      <c r="GV39" s="284">
        <f t="shared" si="60"/>
        <v>0</v>
      </c>
      <c r="GW39" s="266"/>
      <c r="GX39" s="258">
        <v>2482</v>
      </c>
      <c r="GY39" s="270">
        <f>IF(Berechnung_Diagramme!$C$28=Berechnungen_Lastgang!$F$2,Berechnungen_Lastgang!G39,IF(Berechnung_Diagramme!$C$28=Berechnungen_Lastgang!$P$2,Berechnungen_Lastgang!Q39,IF(Berechnung_Diagramme!$C$28=Berechnungen_Lastgang!$Z$2,Berechnungen_Lastgang!AA39,IF(Berechnung_Diagramme!$C$28=Berechnungen_Lastgang!$AJ$2,Berechnungen_Lastgang!AK39,IF(Berechnung_Diagramme!$C$28=Berechnungen_Lastgang!$AT$2,Berechnungen_Lastgang!AU39,IF(Berechnung_Diagramme!$C$28=Berechnungen_Lastgang!$BD$2,Berechnungen_Lastgang!BE39,IF(Berechnung_Diagramme!$C$28=Berechnungen_Lastgang!$BN$2,Berechnungen_Lastgang!BO39,IF(Berechnung_Diagramme!$C$28=Berechnungen_Lastgang!$BX$2,Berechnungen_Lastgang!BY39,IF(Berechnung_Diagramme!$C$28=Berechnungen_Lastgang!$CH$2,Berechnungen_Lastgang!CI39,IF(Berechnung_Diagramme!$C$28=Berechnungen_Lastgang!$CR$2,Berechnungen_Lastgang!CS39,IF(Berechnung_Diagramme!$C$28=Berechnungen_Lastgang!$DB$2,Berechnungen_Lastgang!DC39,IF(Berechnung_Diagramme!$C$28=Berechnungen_Lastgang!$DL$2,Berechnungen_Lastgang!DM39,IF(Berechnung_Diagramme!$C$28=Berechnungen_Lastgang!$DV$2,Berechnungen_Lastgang!DW39,IF(Berechnung_Diagramme!$C$28=Berechnungen_Lastgang!$EF$2,Berechnungen_Lastgang!EG39,IF(Berechnung_Diagramme!$C$28=Berechnungen_Lastgang!$EP$2,Berechnungen_Lastgang!EQ39,IF(Berechnung_Diagramme!$C$28=Berechnungen_Lastgang!$EZ$2,Berechnungen_Lastgang!FA39,IF(Berechnung_Diagramme!$C$28=Berechnungen_Lastgang!$FJ$2,Berechnungen_Lastgang!FK39,IF(Berechnung_Diagramme!$C$28=Berechnungen_Lastgang!$FT$2,Berechnungen_Lastgang!FU39,IF(Berechnung_Diagramme!$C$28=Berechnungen_Lastgang!$GD$2,Berechnungen_Lastgang!GE39,IF(Berechnung_Diagramme!$C$28=Berechnungen_Lastgang!$GN$2,Berechnungen_Lastgang!GO39,""))))))))))))))))))))</f>
        <v>17.334180000000003</v>
      </c>
    </row>
    <row r="40" spans="2:207" ht="14.45" x14ac:dyDescent="0.3">
      <c r="B40" s="64">
        <v>2555</v>
      </c>
      <c r="C40" s="67">
        <f>(C35+C45)/2</f>
        <v>17.253450000000001</v>
      </c>
      <c r="D40" s="66">
        <f t="shared" si="61"/>
        <v>1256.5552049999999</v>
      </c>
      <c r="F40" s="64">
        <v>2555</v>
      </c>
      <c r="G40" s="225">
        <f>IF($C40&gt;=Wirtschaftlichkeit!$G$8,Wirtschaftlichkeit!$G$8,IF(AND($C40&lt;=Wirtschaftlichkeit!$G$8,$C40&gt;=Wirtschaftlichkeit!$G$8*Eingabemaske!$B$18),$C40,"0"))</f>
        <v>2.8333333333333335</v>
      </c>
      <c r="H40" s="64">
        <v>2555</v>
      </c>
      <c r="I40" s="66">
        <f t="shared" si="62"/>
        <v>206.83333333333334</v>
      </c>
      <c r="J40" s="64">
        <v>2555</v>
      </c>
      <c r="K40" s="71">
        <f t="shared" si="63"/>
        <v>2.8333333333333335</v>
      </c>
      <c r="L40" s="312">
        <v>2555</v>
      </c>
      <c r="M40" s="286">
        <f>G40*Wirtschaftlichkeit!$G$5/Wirtschaftlichkeit!$G$7</f>
        <v>1</v>
      </c>
      <c r="N40" s="284">
        <f t="shared" si="3"/>
        <v>73</v>
      </c>
      <c r="P40" s="222">
        <v>2555</v>
      </c>
      <c r="Q40" s="225">
        <f>IF($C40&gt;=Wirtschaftlichkeit!$H$8,Wirtschaftlichkeit!$H$8,IF(AND($C40&lt;=Wirtschaftlichkeit!$H$8,$C40&gt;=Wirtschaftlichkeit!$H$8*Eingabemaske!$B$18),$C40,"0"))</f>
        <v>5.5876288659793811</v>
      </c>
      <c r="R40" s="222">
        <v>2555</v>
      </c>
      <c r="S40" s="224">
        <f t="shared" si="4"/>
        <v>407.89690721649481</v>
      </c>
      <c r="T40" s="222">
        <v>2555</v>
      </c>
      <c r="U40" s="226">
        <f t="shared" si="5"/>
        <v>5.5876288659793811</v>
      </c>
      <c r="V40" s="312">
        <v>2555</v>
      </c>
      <c r="W40" s="286">
        <f>Q40*Wirtschaftlichkeit!$H$5/Wirtschaftlichkeit!$H$7</f>
        <v>2</v>
      </c>
      <c r="X40" s="284">
        <f t="shared" si="6"/>
        <v>146</v>
      </c>
      <c r="Z40" s="222">
        <v>2555</v>
      </c>
      <c r="AA40" s="225">
        <f>IF($C40&gt;=Wirtschaftlichkeit!$I$8,Wirtschaftlichkeit!$I$8,IF(AND($C40&lt;=Wirtschaftlichkeit!$I$8,$C40&gt;=Wirtschaftlichkeit!$I$8*Eingabemaske!$B$18),$C40,"0"))</f>
        <v>8.2471643149712612</v>
      </c>
      <c r="AB40" s="222">
        <v>2555</v>
      </c>
      <c r="AC40" s="224">
        <f t="shared" si="7"/>
        <v>602.04299499290209</v>
      </c>
      <c r="AD40" s="222">
        <v>2555</v>
      </c>
      <c r="AE40" s="226">
        <f t="shared" si="8"/>
        <v>8.2471643149712612</v>
      </c>
      <c r="AF40" s="312">
        <v>2555</v>
      </c>
      <c r="AG40" s="286">
        <f>AA40*Wirtschaftlichkeit!$I$5/Wirtschaftlichkeit!$I$7</f>
        <v>3.0000000000000004</v>
      </c>
      <c r="AH40" s="284">
        <f t="shared" si="9"/>
        <v>219.00000000000003</v>
      </c>
      <c r="AJ40" s="222">
        <v>2555</v>
      </c>
      <c r="AK40" s="225">
        <f>IF($C40&gt;=Wirtschaftlichkeit!$J$8,Wirtschaftlichkeit!$J$8,IF(AND($C40&lt;=Wirtschaftlichkeit!$J$8,$C40&gt;=Wirtschaftlichkeit!$J$8*Eingabemaske!$B$18),$C40,"0"))</f>
        <v>10.537455322965799</v>
      </c>
      <c r="AL40" s="222">
        <v>2555</v>
      </c>
      <c r="AM40" s="224">
        <f t="shared" si="10"/>
        <v>769.23423857650334</v>
      </c>
      <c r="AN40" s="222">
        <v>2555</v>
      </c>
      <c r="AO40" s="226">
        <f t="shared" si="11"/>
        <v>10.537455322965799</v>
      </c>
      <c r="AP40" s="312">
        <v>2555</v>
      </c>
      <c r="AQ40" s="286">
        <f>AK40*Wirtschaftlichkeit!$J$5/Wirtschaftlichkeit!$J$7</f>
        <v>4</v>
      </c>
      <c r="AR40" s="284">
        <f t="shared" si="12"/>
        <v>292</v>
      </c>
      <c r="AT40" s="222">
        <v>2555</v>
      </c>
      <c r="AU40" s="225">
        <f>IF($C40&gt;=Wirtschaftlichkeit!$K$8,Wirtschaftlichkeit!$K$8,IF(AND($C40&lt;=Wirtschaftlichkeit!$K$8,$C40&gt;=Wirtschaftlichkeit!$K$8*Eingabemaske!$B$18),$C40,"0"))</f>
        <v>12.739122166763016</v>
      </c>
      <c r="AV40" s="222">
        <v>2555</v>
      </c>
      <c r="AW40" s="224">
        <f t="shared" si="13"/>
        <v>929.95591817370018</v>
      </c>
      <c r="AX40" s="222">
        <v>2555</v>
      </c>
      <c r="AY40" s="226">
        <f t="shared" si="14"/>
        <v>12.739122166763016</v>
      </c>
      <c r="AZ40" s="312">
        <v>2555</v>
      </c>
      <c r="BA40" s="286">
        <f>AU40*Wirtschaftlichkeit!$K$5/Wirtschaftlichkeit!$K$7</f>
        <v>5</v>
      </c>
      <c r="BB40" s="284">
        <f t="shared" si="15"/>
        <v>365</v>
      </c>
      <c r="BD40" s="222">
        <v>2555</v>
      </c>
      <c r="BE40" s="225">
        <f>IF($C40&gt;=Wirtschaftlichkeit!$L$8,Wirtschaftlichkeit!$L$8,IF(AND($C40&lt;=Wirtschaftlichkeit!$L$8,$C40&gt;=Wirtschaftlichkeit!$L$8*Eingabemaske!$B$18),$C40,"0"))</f>
        <v>14.87189090675227</v>
      </c>
      <c r="BF40" s="222">
        <v>2555</v>
      </c>
      <c r="BG40" s="224">
        <f t="shared" si="16"/>
        <v>1085.6480361929157</v>
      </c>
      <c r="BH40" s="222">
        <v>2555</v>
      </c>
      <c r="BI40" s="226">
        <f t="shared" si="17"/>
        <v>14.87189090675227</v>
      </c>
      <c r="BJ40" s="312">
        <v>2555</v>
      </c>
      <c r="BK40" s="286">
        <f>BE40*Wirtschaftlichkeit!$L$5/Wirtschaftlichkeit!$L$7</f>
        <v>6</v>
      </c>
      <c r="BL40" s="284">
        <f t="shared" si="18"/>
        <v>438</v>
      </c>
      <c r="BN40" s="222">
        <v>2555</v>
      </c>
      <c r="BO40" s="225">
        <f>IF($C40&gt;=Wirtschaftlichkeit!$M$8,Wirtschaftlichkeit!$M$8,IF(AND($C40&lt;=Wirtschaftlichkeit!$M$8,$C40&gt;=Wirtschaftlichkeit!$M$8*Eingabemaske!$B$18),$C40,"0"))</f>
        <v>16.948500863015312</v>
      </c>
      <c r="BP40" s="222">
        <v>2555</v>
      </c>
      <c r="BQ40" s="224">
        <f t="shared" si="19"/>
        <v>1237.2405630001178</v>
      </c>
      <c r="BR40" s="222">
        <v>2555</v>
      </c>
      <c r="BS40" s="226">
        <f t="shared" si="20"/>
        <v>16.948500863015312</v>
      </c>
      <c r="BT40" s="312">
        <v>2555</v>
      </c>
      <c r="BU40" s="286">
        <f>BO40*Wirtschaftlichkeit!$M$5/Wirtschaftlichkeit!$M$7</f>
        <v>7</v>
      </c>
      <c r="BV40" s="284">
        <f t="shared" si="21"/>
        <v>511</v>
      </c>
      <c r="BX40" s="222">
        <v>2555</v>
      </c>
      <c r="BY40" s="225">
        <f>IF($C40&gt;=Wirtschaftlichkeit!$N$8,Wirtschaftlichkeit!$N$8,IF(AND($C40&lt;=Wirtschaftlichkeit!$N$8,$C40&gt;=Wirtschaftlichkeit!$N$8*Eingabemaske!$B$18),$C40,"0"))</f>
        <v>17.253450000000001</v>
      </c>
      <c r="BZ40" s="222">
        <v>2555</v>
      </c>
      <c r="CA40" s="224">
        <f t="shared" si="22"/>
        <v>1256.5552049999999</v>
      </c>
      <c r="CB40" s="222">
        <v>2555</v>
      </c>
      <c r="CC40" s="226">
        <f t="shared" si="23"/>
        <v>17.253450000000001</v>
      </c>
      <c r="CD40" s="312">
        <v>2555</v>
      </c>
      <c r="CE40" s="286">
        <f>BY40*Wirtschaftlichkeit!$N$5/Wirtschaftlichkeit!$N$7</f>
        <v>7.2730938556652358</v>
      </c>
      <c r="CF40" s="284">
        <f t="shared" si="24"/>
        <v>529.69370999943033</v>
      </c>
      <c r="CH40" s="222">
        <v>2555</v>
      </c>
      <c r="CI40" s="225">
        <f>IF($C40&gt;=Wirtschaftlichkeit!$O$8,Wirtschaftlichkeit!$O$8,IF(AND($C40&lt;=Wirtschaftlichkeit!$O$8,$C40&gt;=Wirtschaftlichkeit!$O$8*Eingabemaske!$B$18),$C40,"0"))</f>
        <v>17.253450000000001</v>
      </c>
      <c r="CJ40" s="222">
        <v>2555</v>
      </c>
      <c r="CK40" s="224">
        <f t="shared" si="25"/>
        <v>1256.5552049999999</v>
      </c>
      <c r="CL40" s="222">
        <v>2555</v>
      </c>
      <c r="CM40" s="226">
        <f t="shared" si="26"/>
        <v>17.253450000000001</v>
      </c>
      <c r="CN40" s="312">
        <v>2555</v>
      </c>
      <c r="CO40" s="286">
        <f>CI40*Wirtschaftlichkeit!$O$5/Wirtschaftlichkeit!$O$7</f>
        <v>7.4061703314897551</v>
      </c>
      <c r="CP40" s="284">
        <f t="shared" si="27"/>
        <v>539.38556515653545</v>
      </c>
      <c r="CR40" s="222">
        <v>2555</v>
      </c>
      <c r="CS40" s="225">
        <f>IF($C40&gt;=Wirtschaftlichkeit!$P$8,Wirtschaftlichkeit!$P$8,IF(AND($C40&lt;=Wirtschaftlichkeit!$P$8,$C40&gt;=Wirtschaftlichkeit!$P$8*Eingabemaske!$B$18),$C40,"0"))</f>
        <v>17.253450000000001</v>
      </c>
      <c r="CT40" s="222">
        <v>2555</v>
      </c>
      <c r="CU40" s="224">
        <f t="shared" si="28"/>
        <v>1256.5552049999999</v>
      </c>
      <c r="CV40" s="222">
        <v>2555</v>
      </c>
      <c r="CW40" s="226">
        <f t="shared" si="29"/>
        <v>17.253450000000001</v>
      </c>
      <c r="CX40" s="312">
        <v>2555</v>
      </c>
      <c r="CY40" s="286">
        <f>CS40*Wirtschaftlichkeit!$P$5/Wirtschaftlichkeit!$P$7</f>
        <v>7.5279059601412257</v>
      </c>
      <c r="CZ40" s="284">
        <f t="shared" si="30"/>
        <v>548.25147532615108</v>
      </c>
      <c r="DB40" s="222">
        <v>2555</v>
      </c>
      <c r="DC40" s="225">
        <f>IF($C40&gt;=Wirtschaftlichkeit!$Q$8,Wirtschaftlichkeit!$Q$8,IF(AND($C40&lt;=Wirtschaftlichkeit!$Q$8,$C40&gt;=Wirtschaftlichkeit!$Q$8*Eingabemaske!$B$18),$C40,"0"))</f>
        <v>17.253450000000001</v>
      </c>
      <c r="DD40" s="222">
        <v>2555</v>
      </c>
      <c r="DE40" s="224">
        <f t="shared" si="31"/>
        <v>1256.5552049999999</v>
      </c>
      <c r="DF40" s="222">
        <v>2555</v>
      </c>
      <c r="DG40" s="226">
        <f t="shared" si="32"/>
        <v>17.253450000000001</v>
      </c>
      <c r="DH40" s="312">
        <v>2555</v>
      </c>
      <c r="DI40" s="286">
        <f>DC40*Wirtschaftlichkeit!$Q$5/Wirtschaftlichkeit!$Q$7</f>
        <v>7.8998266257348009</v>
      </c>
      <c r="DJ40" s="284">
        <f t="shared" si="33"/>
        <v>575.3381651301421</v>
      </c>
      <c r="DL40" s="222">
        <v>2555</v>
      </c>
      <c r="DM40" s="225">
        <f>IF($C40&gt;=Wirtschaftlichkeit!$R$8,Wirtschaftlichkeit!$R$8,IF(AND($C40&lt;=Wirtschaftlichkeit!$R$8,$C40&gt;=Wirtschaftlichkeit!$R$8*Eingabemaske!$B$18),$C40,"0"))</f>
        <v>17.253450000000001</v>
      </c>
      <c r="DN40" s="222">
        <v>2555</v>
      </c>
      <c r="DO40" s="224">
        <f t="shared" si="34"/>
        <v>1256.5552049999999</v>
      </c>
      <c r="DP40" s="222">
        <v>2555</v>
      </c>
      <c r="DQ40" s="226">
        <f t="shared" si="35"/>
        <v>17.253450000000001</v>
      </c>
      <c r="DR40" s="312">
        <v>2555</v>
      </c>
      <c r="DS40" s="286">
        <f>DM40*Wirtschaftlichkeit!$R$5/Wirtschaftlichkeit!$R$7</f>
        <v>8.0041401479610439</v>
      </c>
      <c r="DT40" s="284">
        <f t="shared" si="36"/>
        <v>582.93523697984585</v>
      </c>
      <c r="DV40" s="222">
        <v>2555</v>
      </c>
      <c r="DW40" s="225">
        <f>IF($C40&gt;=Wirtschaftlichkeit!$S$8,Wirtschaftlichkeit!$S$8,IF(AND($C40&lt;=Wirtschaftlichkeit!$S$8,$C40&gt;=Wirtschaftlichkeit!$S$8*Eingabemaske!$B$18),$C40,"0"))</f>
        <v>17.253450000000001</v>
      </c>
      <c r="DX40" s="222">
        <v>2555</v>
      </c>
      <c r="DY40" s="224">
        <f t="shared" si="37"/>
        <v>1256.5552049999999</v>
      </c>
      <c r="DZ40" s="222">
        <v>2555</v>
      </c>
      <c r="EA40" s="226">
        <f t="shared" si="38"/>
        <v>17.253450000000001</v>
      </c>
      <c r="EB40" s="312">
        <v>2555</v>
      </c>
      <c r="EC40" s="286">
        <f>DW40*Wirtschaftlichkeit!$S$5/Wirtschaftlichkeit!$S$7</f>
        <v>8.101706813727894</v>
      </c>
      <c r="ED40" s="284">
        <f t="shared" si="39"/>
        <v>590.04094057558052</v>
      </c>
      <c r="EF40" s="222">
        <v>2555</v>
      </c>
      <c r="EG40" s="225">
        <f>IF($C40&gt;=Wirtschaftlichkeit!$T$8,Wirtschaftlichkeit!$T$8,IF(AND($C40&lt;=Wirtschaftlichkeit!$T$8,$C40&gt;=Wirtschaftlichkeit!$T$8*Eingabemaske!$B$18),$C40,"0"))</f>
        <v>17.253450000000001</v>
      </c>
      <c r="EH40" s="222">
        <v>2555</v>
      </c>
      <c r="EI40" s="224">
        <f t="shared" si="40"/>
        <v>1256.5552049999999</v>
      </c>
      <c r="EJ40" s="222">
        <v>2555</v>
      </c>
      <c r="EK40" s="226">
        <f t="shared" si="41"/>
        <v>17.253450000000001</v>
      </c>
      <c r="EL40" s="312">
        <v>2555</v>
      </c>
      <c r="EM40" s="286">
        <f>EG40*Wirtschaftlichkeit!$T$5/Wirtschaftlichkeit!$T$7</f>
        <v>8.1934432269485704</v>
      </c>
      <c r="EN40" s="284">
        <f t="shared" si="42"/>
        <v>596.72203146003972</v>
      </c>
      <c r="EP40" s="222">
        <v>2555</v>
      </c>
      <c r="EQ40" s="225">
        <f>IF($C40&gt;=Wirtschaftlichkeit!$U$8,Wirtschaftlichkeit!$U$8,IF(AND($C40&lt;=Wirtschaftlichkeit!$U$8,$C40&gt;=Wirtschaftlichkeit!$U$8*Eingabemaske!$B$18),$C40,"0"))</f>
        <v>17.253450000000001</v>
      </c>
      <c r="ER40" s="222">
        <v>2555</v>
      </c>
      <c r="ES40" s="224">
        <f t="shared" si="43"/>
        <v>1256.5552049999999</v>
      </c>
      <c r="ET40" s="222">
        <v>2555</v>
      </c>
      <c r="EU40" s="226">
        <f t="shared" si="44"/>
        <v>17.253450000000001</v>
      </c>
      <c r="EV40" s="312">
        <v>2555</v>
      </c>
      <c r="EW40" s="286">
        <f>EQ40*Wirtschaftlichkeit!$U$5/Wirtschaftlichkeit!$U$7</f>
        <v>8.2800860110486969</v>
      </c>
      <c r="EX40" s="284">
        <f t="shared" si="45"/>
        <v>603.03215733844127</v>
      </c>
      <c r="EZ40" s="222">
        <v>2555</v>
      </c>
      <c r="FA40" s="225">
        <f>IF($C40&gt;=Wirtschaftlichkeit!$V$8,Wirtschaftlichkeit!$V$8,IF(AND($C40&lt;=Wirtschaftlichkeit!$V$8,$C40&gt;=Wirtschaftlichkeit!$V$8*Eingabemaske!$B$18),$C40,"0"))</f>
        <v>17.253450000000001</v>
      </c>
      <c r="FB40" s="222">
        <v>2555</v>
      </c>
      <c r="FC40" s="224">
        <f t="shared" si="46"/>
        <v>1256.5552049999999</v>
      </c>
      <c r="FD40" s="222">
        <v>2555</v>
      </c>
      <c r="FE40" s="226">
        <f t="shared" si="47"/>
        <v>17.253450000000001</v>
      </c>
      <c r="FF40" s="312">
        <v>2555</v>
      </c>
      <c r="FG40" s="286">
        <f>FA40*Wirtschaftlichkeit!$V$5/Wirtschaftlichkeit!$V$7</f>
        <v>8.3622366019135885</v>
      </c>
      <c r="FH40" s="284">
        <f t="shared" si="48"/>
        <v>609.01512031367838</v>
      </c>
      <c r="FJ40" s="222">
        <v>2555</v>
      </c>
      <c r="FK40" s="225" t="str">
        <f>IF($C40&gt;=Wirtschaftlichkeit!$W$8,Wirtschaftlichkeit!$W$8,IF(AND($C40&lt;=Wirtschaftlichkeit!$W$8,$C40&gt;=Wirtschaftlichkeit!$W$8*Eingabemaske!$B$18),$C40,"0"))</f>
        <v>0</v>
      </c>
      <c r="FL40" s="222">
        <v>2555</v>
      </c>
      <c r="FM40" s="224">
        <f t="shared" si="49"/>
        <v>0</v>
      </c>
      <c r="FN40" s="222">
        <v>2555</v>
      </c>
      <c r="FO40" s="226" t="str">
        <f t="shared" si="50"/>
        <v xml:space="preserve"> </v>
      </c>
      <c r="FP40" s="312">
        <v>2555</v>
      </c>
      <c r="FQ40" s="286">
        <f>FK40*Wirtschaftlichkeit!$W$5/Wirtschaftlichkeit!$W$7</f>
        <v>0</v>
      </c>
      <c r="FR40" s="284">
        <f t="shared" si="51"/>
        <v>0</v>
      </c>
      <c r="FT40" s="222">
        <v>2555</v>
      </c>
      <c r="FU40" s="225" t="str">
        <f>IF($C40&gt;=Wirtschaftlichkeit!$X$8,Wirtschaftlichkeit!$X$8,IF(AND($C40&lt;=Wirtschaftlichkeit!$X$8,$C40&gt;=Wirtschaftlichkeit!$X$8*Eingabemaske!$B$18),$C40,"0"))</f>
        <v>0</v>
      </c>
      <c r="FV40" s="222">
        <v>2555</v>
      </c>
      <c r="FW40" s="224">
        <f t="shared" si="52"/>
        <v>0</v>
      </c>
      <c r="FX40" s="222">
        <v>2555</v>
      </c>
      <c r="FY40" s="226" t="str">
        <f t="shared" si="53"/>
        <v xml:space="preserve"> </v>
      </c>
      <c r="FZ40" s="312">
        <v>2555</v>
      </c>
      <c r="GA40" s="286">
        <f>FU40*Wirtschaftlichkeit!$X$5/Wirtschaftlichkeit!$X$7</f>
        <v>0</v>
      </c>
      <c r="GB40" s="284">
        <f t="shared" si="54"/>
        <v>0</v>
      </c>
      <c r="GD40" s="222">
        <v>2555</v>
      </c>
      <c r="GE40" s="225" t="str">
        <f>IF($C40&gt;=Wirtschaftlichkeit!$Y$8,Wirtschaftlichkeit!$Y$8,IF(AND($C40&lt;=Wirtschaftlichkeit!$Y$8,$C40&gt;=Wirtschaftlichkeit!$Y$8*Eingabemaske!$B$18),$C40,"0"))</f>
        <v>0</v>
      </c>
      <c r="GF40" s="222">
        <v>2555</v>
      </c>
      <c r="GG40" s="224">
        <f t="shared" si="55"/>
        <v>0</v>
      </c>
      <c r="GH40" s="222">
        <v>2555</v>
      </c>
      <c r="GI40" s="226" t="str">
        <f t="shared" si="56"/>
        <v xml:space="preserve"> </v>
      </c>
      <c r="GJ40" s="312">
        <v>2555</v>
      </c>
      <c r="GK40" s="286">
        <f>GE40*Wirtschaftlichkeit!$Y$5/Wirtschaftlichkeit!$Y$7</f>
        <v>0</v>
      </c>
      <c r="GL40" s="284">
        <f t="shared" si="57"/>
        <v>0</v>
      </c>
      <c r="GN40" s="222">
        <v>2555</v>
      </c>
      <c r="GO40" s="225" t="str">
        <f>IF($C40&gt;=Wirtschaftlichkeit!$Z$8,Wirtschaftlichkeit!$Z$8,IF(AND($C40&lt;=Wirtschaftlichkeit!$Z$8,$C40&gt;=Wirtschaftlichkeit!$Z$8*Eingabemaske!$B$18),$C40,"0"))</f>
        <v>0</v>
      </c>
      <c r="GP40" s="222">
        <v>2555</v>
      </c>
      <c r="GQ40" s="224">
        <f t="shared" si="58"/>
        <v>0</v>
      </c>
      <c r="GR40" s="222">
        <v>2555</v>
      </c>
      <c r="GS40" s="226" t="str">
        <f t="shared" si="59"/>
        <v xml:space="preserve"> </v>
      </c>
      <c r="GT40" s="312">
        <v>2555</v>
      </c>
      <c r="GU40" s="286">
        <f>GO40*Wirtschaftlichkeit!$Z$5/Wirtschaftlichkeit!$Z$7</f>
        <v>0</v>
      </c>
      <c r="GV40" s="284">
        <f t="shared" si="60"/>
        <v>0</v>
      </c>
      <c r="GW40" s="266"/>
      <c r="GX40" s="258">
        <v>2555</v>
      </c>
      <c r="GY40" s="270">
        <f>IF(Berechnung_Diagramme!$C$28=Berechnungen_Lastgang!$F$2,Berechnungen_Lastgang!G40,IF(Berechnung_Diagramme!$C$28=Berechnungen_Lastgang!$P$2,Berechnungen_Lastgang!Q40,IF(Berechnung_Diagramme!$C$28=Berechnungen_Lastgang!$Z$2,Berechnungen_Lastgang!AA40,IF(Berechnung_Diagramme!$C$28=Berechnungen_Lastgang!$AJ$2,Berechnungen_Lastgang!AK40,IF(Berechnung_Diagramme!$C$28=Berechnungen_Lastgang!$AT$2,Berechnungen_Lastgang!AU40,IF(Berechnung_Diagramme!$C$28=Berechnungen_Lastgang!$BD$2,Berechnungen_Lastgang!BE40,IF(Berechnung_Diagramme!$C$28=Berechnungen_Lastgang!$BN$2,Berechnungen_Lastgang!BO40,IF(Berechnung_Diagramme!$C$28=Berechnungen_Lastgang!$BX$2,Berechnungen_Lastgang!BY40,IF(Berechnung_Diagramme!$C$28=Berechnungen_Lastgang!$CH$2,Berechnungen_Lastgang!CI40,IF(Berechnung_Diagramme!$C$28=Berechnungen_Lastgang!$CR$2,Berechnungen_Lastgang!CS40,IF(Berechnung_Diagramme!$C$28=Berechnungen_Lastgang!$DB$2,Berechnungen_Lastgang!DC40,IF(Berechnung_Diagramme!$C$28=Berechnungen_Lastgang!$DL$2,Berechnungen_Lastgang!DM40,IF(Berechnung_Diagramme!$C$28=Berechnungen_Lastgang!$DV$2,Berechnungen_Lastgang!DW40,IF(Berechnung_Diagramme!$C$28=Berechnungen_Lastgang!$EF$2,Berechnungen_Lastgang!EG40,IF(Berechnung_Diagramme!$C$28=Berechnungen_Lastgang!$EP$2,Berechnungen_Lastgang!EQ40,IF(Berechnung_Diagramme!$C$28=Berechnungen_Lastgang!$EZ$2,Berechnungen_Lastgang!FA40,IF(Berechnung_Diagramme!$C$28=Berechnungen_Lastgang!$FJ$2,Berechnungen_Lastgang!FK40,IF(Berechnung_Diagramme!$C$28=Berechnungen_Lastgang!$FT$2,Berechnungen_Lastgang!FU40,IF(Berechnung_Diagramme!$C$28=Berechnungen_Lastgang!$GD$2,Berechnungen_Lastgang!GE40,IF(Berechnung_Diagramme!$C$28=Berechnungen_Lastgang!$GN$2,Berechnungen_Lastgang!GO40,""))))))))))))))))))))</f>
        <v>17.253450000000001</v>
      </c>
    </row>
    <row r="41" spans="2:207" ht="14.45" x14ac:dyDescent="0.3">
      <c r="B41" s="64">
        <v>2628</v>
      </c>
      <c r="C41" s="67">
        <f>C40+((C45-C40)/(B45-B40))*(B41-B40)</f>
        <v>17.172720000000002</v>
      </c>
      <c r="D41" s="66">
        <f t="shared" si="61"/>
        <v>1250.6619150000004</v>
      </c>
      <c r="F41" s="64">
        <v>2628</v>
      </c>
      <c r="G41" s="225">
        <f>IF($C41&gt;=Wirtschaftlichkeit!$G$8,Wirtschaftlichkeit!$G$8,IF(AND($C41&lt;=Wirtschaftlichkeit!$G$8,$C41&gt;=Wirtschaftlichkeit!$G$8*Eingabemaske!$B$18),$C41,"0"))</f>
        <v>2.8333333333333335</v>
      </c>
      <c r="H41" s="64">
        <v>2628</v>
      </c>
      <c r="I41" s="66">
        <f t="shared" si="62"/>
        <v>206.83333333333334</v>
      </c>
      <c r="J41" s="64">
        <v>2628</v>
      </c>
      <c r="K41" s="71">
        <f t="shared" si="63"/>
        <v>2.8333333333333335</v>
      </c>
      <c r="L41" s="312">
        <v>2628</v>
      </c>
      <c r="M41" s="286">
        <f>G41*Wirtschaftlichkeit!$G$5/Wirtschaftlichkeit!$G$7</f>
        <v>1</v>
      </c>
      <c r="N41" s="284">
        <f t="shared" si="3"/>
        <v>73</v>
      </c>
      <c r="P41" s="222">
        <v>2628</v>
      </c>
      <c r="Q41" s="225">
        <f>IF($C41&gt;=Wirtschaftlichkeit!$H$8,Wirtschaftlichkeit!$H$8,IF(AND($C41&lt;=Wirtschaftlichkeit!$H$8,$C41&gt;=Wirtschaftlichkeit!$H$8*Eingabemaske!$B$18),$C41,"0"))</f>
        <v>5.5876288659793811</v>
      </c>
      <c r="R41" s="222">
        <v>2628</v>
      </c>
      <c r="S41" s="224">
        <f t="shared" si="4"/>
        <v>407.89690721649481</v>
      </c>
      <c r="T41" s="222">
        <v>2628</v>
      </c>
      <c r="U41" s="226">
        <f t="shared" si="5"/>
        <v>5.5876288659793811</v>
      </c>
      <c r="V41" s="312">
        <v>2628</v>
      </c>
      <c r="W41" s="286">
        <f>Q41*Wirtschaftlichkeit!$H$5/Wirtschaftlichkeit!$H$7</f>
        <v>2</v>
      </c>
      <c r="X41" s="284">
        <f t="shared" si="6"/>
        <v>146</v>
      </c>
      <c r="Z41" s="222">
        <v>2628</v>
      </c>
      <c r="AA41" s="225">
        <f>IF($C41&gt;=Wirtschaftlichkeit!$I$8,Wirtschaftlichkeit!$I$8,IF(AND($C41&lt;=Wirtschaftlichkeit!$I$8,$C41&gt;=Wirtschaftlichkeit!$I$8*Eingabemaske!$B$18),$C41,"0"))</f>
        <v>8.2471643149712612</v>
      </c>
      <c r="AB41" s="222">
        <v>2628</v>
      </c>
      <c r="AC41" s="224">
        <f t="shared" si="7"/>
        <v>602.04299499290209</v>
      </c>
      <c r="AD41" s="222">
        <v>2628</v>
      </c>
      <c r="AE41" s="226">
        <f t="shared" si="8"/>
        <v>8.2471643149712612</v>
      </c>
      <c r="AF41" s="312">
        <v>2628</v>
      </c>
      <c r="AG41" s="286">
        <f>AA41*Wirtschaftlichkeit!$I$5/Wirtschaftlichkeit!$I$7</f>
        <v>3.0000000000000004</v>
      </c>
      <c r="AH41" s="284">
        <f t="shared" si="9"/>
        <v>219.00000000000003</v>
      </c>
      <c r="AJ41" s="222">
        <v>2628</v>
      </c>
      <c r="AK41" s="225">
        <f>IF($C41&gt;=Wirtschaftlichkeit!$J$8,Wirtschaftlichkeit!$J$8,IF(AND($C41&lt;=Wirtschaftlichkeit!$J$8,$C41&gt;=Wirtschaftlichkeit!$J$8*Eingabemaske!$B$18),$C41,"0"))</f>
        <v>10.537455322965799</v>
      </c>
      <c r="AL41" s="222">
        <v>2628</v>
      </c>
      <c r="AM41" s="224">
        <f t="shared" si="10"/>
        <v>769.23423857650334</v>
      </c>
      <c r="AN41" s="222">
        <v>2628</v>
      </c>
      <c r="AO41" s="226">
        <f t="shared" si="11"/>
        <v>10.537455322965799</v>
      </c>
      <c r="AP41" s="312">
        <v>2628</v>
      </c>
      <c r="AQ41" s="286">
        <f>AK41*Wirtschaftlichkeit!$J$5/Wirtschaftlichkeit!$J$7</f>
        <v>4</v>
      </c>
      <c r="AR41" s="284">
        <f t="shared" si="12"/>
        <v>292</v>
      </c>
      <c r="AT41" s="222">
        <v>2628</v>
      </c>
      <c r="AU41" s="225">
        <f>IF($C41&gt;=Wirtschaftlichkeit!$K$8,Wirtschaftlichkeit!$K$8,IF(AND($C41&lt;=Wirtschaftlichkeit!$K$8,$C41&gt;=Wirtschaftlichkeit!$K$8*Eingabemaske!$B$18),$C41,"0"))</f>
        <v>12.739122166763016</v>
      </c>
      <c r="AV41" s="222">
        <v>2628</v>
      </c>
      <c r="AW41" s="224">
        <f t="shared" si="13"/>
        <v>929.95591817370018</v>
      </c>
      <c r="AX41" s="222">
        <v>2628</v>
      </c>
      <c r="AY41" s="226">
        <f t="shared" si="14"/>
        <v>12.739122166763016</v>
      </c>
      <c r="AZ41" s="312">
        <v>2628</v>
      </c>
      <c r="BA41" s="286">
        <f>AU41*Wirtschaftlichkeit!$K$5/Wirtschaftlichkeit!$K$7</f>
        <v>5</v>
      </c>
      <c r="BB41" s="284">
        <f t="shared" si="15"/>
        <v>365</v>
      </c>
      <c r="BD41" s="222">
        <v>2628</v>
      </c>
      <c r="BE41" s="225">
        <f>IF($C41&gt;=Wirtschaftlichkeit!$L$8,Wirtschaftlichkeit!$L$8,IF(AND($C41&lt;=Wirtschaftlichkeit!$L$8,$C41&gt;=Wirtschaftlichkeit!$L$8*Eingabemaske!$B$18),$C41,"0"))</f>
        <v>14.87189090675227</v>
      </c>
      <c r="BF41" s="222">
        <v>2628</v>
      </c>
      <c r="BG41" s="224">
        <f t="shared" si="16"/>
        <v>1085.6480361929157</v>
      </c>
      <c r="BH41" s="222">
        <v>2628</v>
      </c>
      <c r="BI41" s="226">
        <f t="shared" si="17"/>
        <v>14.87189090675227</v>
      </c>
      <c r="BJ41" s="312">
        <v>2628</v>
      </c>
      <c r="BK41" s="286">
        <f>BE41*Wirtschaftlichkeit!$L$5/Wirtschaftlichkeit!$L$7</f>
        <v>6</v>
      </c>
      <c r="BL41" s="284">
        <f t="shared" si="18"/>
        <v>438</v>
      </c>
      <c r="BN41" s="222">
        <v>2628</v>
      </c>
      <c r="BO41" s="225">
        <f>IF($C41&gt;=Wirtschaftlichkeit!$M$8,Wirtschaftlichkeit!$M$8,IF(AND($C41&lt;=Wirtschaftlichkeit!$M$8,$C41&gt;=Wirtschaftlichkeit!$M$8*Eingabemaske!$B$18),$C41,"0"))</f>
        <v>16.948500863015312</v>
      </c>
      <c r="BP41" s="222">
        <v>2628</v>
      </c>
      <c r="BQ41" s="224">
        <f t="shared" si="19"/>
        <v>1237.2405630001178</v>
      </c>
      <c r="BR41" s="222">
        <v>2628</v>
      </c>
      <c r="BS41" s="226">
        <f t="shared" si="20"/>
        <v>16.948500863015312</v>
      </c>
      <c r="BT41" s="312">
        <v>2628</v>
      </c>
      <c r="BU41" s="286">
        <f>BO41*Wirtschaftlichkeit!$M$5/Wirtschaftlichkeit!$M$7</f>
        <v>7</v>
      </c>
      <c r="BV41" s="284">
        <f t="shared" si="21"/>
        <v>511</v>
      </c>
      <c r="BX41" s="222">
        <v>2628</v>
      </c>
      <c r="BY41" s="225">
        <f>IF($C41&gt;=Wirtschaftlichkeit!$N$8,Wirtschaftlichkeit!$N$8,IF(AND($C41&lt;=Wirtschaftlichkeit!$N$8,$C41&gt;=Wirtschaftlichkeit!$N$8*Eingabemaske!$B$18),$C41,"0"))</f>
        <v>17.172720000000002</v>
      </c>
      <c r="BZ41" s="222">
        <v>2628</v>
      </c>
      <c r="CA41" s="224">
        <f t="shared" si="22"/>
        <v>1250.6619150000004</v>
      </c>
      <c r="CB41" s="222">
        <v>2628</v>
      </c>
      <c r="CC41" s="226">
        <f t="shared" si="23"/>
        <v>17.172720000000002</v>
      </c>
      <c r="CD41" s="312">
        <v>2628</v>
      </c>
      <c r="CE41" s="286">
        <f>BY41*Wirtschaftlichkeit!$N$5/Wirtschaftlichkeit!$N$7</f>
        <v>7.2390625826753219</v>
      </c>
      <c r="CF41" s="284">
        <f t="shared" si="24"/>
        <v>527.20942707116649</v>
      </c>
      <c r="CH41" s="222">
        <v>2628</v>
      </c>
      <c r="CI41" s="225">
        <f>IF($C41&gt;=Wirtschaftlichkeit!$O$8,Wirtschaftlichkeit!$O$8,IF(AND($C41&lt;=Wirtschaftlichkeit!$O$8,$C41&gt;=Wirtschaftlichkeit!$O$8*Eingabemaske!$B$18),$C41,"0"))</f>
        <v>17.172720000000002</v>
      </c>
      <c r="CJ41" s="222">
        <v>2628</v>
      </c>
      <c r="CK41" s="224">
        <f t="shared" si="25"/>
        <v>1250.6619150000004</v>
      </c>
      <c r="CL41" s="222">
        <v>2628</v>
      </c>
      <c r="CM41" s="226">
        <f t="shared" si="26"/>
        <v>17.172720000000002</v>
      </c>
      <c r="CN41" s="312">
        <v>2628</v>
      </c>
      <c r="CO41" s="286">
        <f>CI41*Wirtschaftlichkeit!$O$5/Wirtschaftlichkeit!$O$7</f>
        <v>7.3715163851276557</v>
      </c>
      <c r="CP41" s="284">
        <f t="shared" si="27"/>
        <v>536.85582707210233</v>
      </c>
      <c r="CR41" s="222">
        <v>2628</v>
      </c>
      <c r="CS41" s="225">
        <f>IF($C41&gt;=Wirtschaftlichkeit!$P$8,Wirtschaftlichkeit!$P$8,IF(AND($C41&lt;=Wirtschaftlichkeit!$P$8,$C41&gt;=Wirtschaftlichkeit!$P$8*Eingabemaske!$B$18),$C41,"0"))</f>
        <v>17.172720000000002</v>
      </c>
      <c r="CT41" s="222">
        <v>2628</v>
      </c>
      <c r="CU41" s="224">
        <f t="shared" si="28"/>
        <v>1250.6619150000004</v>
      </c>
      <c r="CV41" s="222">
        <v>2628</v>
      </c>
      <c r="CW41" s="226">
        <f t="shared" si="29"/>
        <v>17.172720000000002</v>
      </c>
      <c r="CX41" s="312">
        <v>2628</v>
      </c>
      <c r="CY41" s="286">
        <f>CS41*Wirtschaftlichkeit!$P$5/Wirtschaftlichkeit!$P$7</f>
        <v>7.4926824049588019</v>
      </c>
      <c r="CZ41" s="284">
        <f t="shared" si="30"/>
        <v>545.680155797834</v>
      </c>
      <c r="DB41" s="222">
        <v>2628</v>
      </c>
      <c r="DC41" s="225">
        <f>IF($C41&gt;=Wirtschaftlichkeit!$Q$8,Wirtschaftlichkeit!$Q$8,IF(AND($C41&lt;=Wirtschaftlichkeit!$Q$8,$C41&gt;=Wirtschaftlichkeit!$Q$8*Eingabemaske!$B$18),$C41,"0"))</f>
        <v>17.172720000000002</v>
      </c>
      <c r="DD41" s="222">
        <v>2628</v>
      </c>
      <c r="DE41" s="224">
        <f t="shared" si="31"/>
        <v>1250.6619150000004</v>
      </c>
      <c r="DF41" s="222">
        <v>2628</v>
      </c>
      <c r="DG41" s="226">
        <f t="shared" si="32"/>
        <v>17.172720000000002</v>
      </c>
      <c r="DH41" s="312">
        <v>2628</v>
      </c>
      <c r="DI41" s="286">
        <f>DC41*Wirtschaftlichkeit!$Q$5/Wirtschaftlichkeit!$Q$7</f>
        <v>7.8628628298855325</v>
      </c>
      <c r="DJ41" s="284">
        <f t="shared" si="33"/>
        <v>572.63980803314553</v>
      </c>
      <c r="DL41" s="222">
        <v>2628</v>
      </c>
      <c r="DM41" s="225">
        <f>IF($C41&gt;=Wirtschaftlichkeit!$R$8,Wirtschaftlichkeit!$R$8,IF(AND($C41&lt;=Wirtschaftlichkeit!$R$8,$C41&gt;=Wirtschaftlichkeit!$R$8*Eingabemaske!$B$18),$C41,"0"))</f>
        <v>17.172720000000002</v>
      </c>
      <c r="DN41" s="222">
        <v>2628</v>
      </c>
      <c r="DO41" s="224">
        <f t="shared" si="34"/>
        <v>1250.6619150000004</v>
      </c>
      <c r="DP41" s="222">
        <v>2628</v>
      </c>
      <c r="DQ41" s="226">
        <f t="shared" si="35"/>
        <v>17.172720000000002</v>
      </c>
      <c r="DR41" s="312">
        <v>2628</v>
      </c>
      <c r="DS41" s="286">
        <f>DM41*Wirtschaftlichkeit!$R$5/Wirtschaftlichkeit!$R$7</f>
        <v>7.9666882624456905</v>
      </c>
      <c r="DT41" s="284">
        <f t="shared" si="36"/>
        <v>580.20124933722502</v>
      </c>
      <c r="DV41" s="222">
        <v>2628</v>
      </c>
      <c r="DW41" s="225">
        <f>IF($C41&gt;=Wirtschaftlichkeit!$S$8,Wirtschaftlichkeit!$S$8,IF(AND($C41&lt;=Wirtschaftlichkeit!$S$8,$C41&gt;=Wirtschaftlichkeit!$S$8*Eingabemaske!$B$18),$C41,"0"))</f>
        <v>17.172720000000002</v>
      </c>
      <c r="DX41" s="222">
        <v>2628</v>
      </c>
      <c r="DY41" s="224">
        <f t="shared" si="37"/>
        <v>1250.6619150000004</v>
      </c>
      <c r="DZ41" s="222">
        <v>2628</v>
      </c>
      <c r="EA41" s="226">
        <f t="shared" si="38"/>
        <v>17.172720000000002</v>
      </c>
      <c r="EB41" s="312">
        <v>2628</v>
      </c>
      <c r="EC41" s="286">
        <f>DW41*Wirtschaftlichkeit!$S$5/Wirtschaftlichkeit!$S$7</f>
        <v>8.0637984075208884</v>
      </c>
      <c r="ED41" s="284">
        <f t="shared" si="39"/>
        <v>587.27362692246925</v>
      </c>
      <c r="EF41" s="222">
        <v>2628</v>
      </c>
      <c r="EG41" s="225">
        <f>IF($C41&gt;=Wirtschaftlichkeit!$T$8,Wirtschaftlichkeit!$T$8,IF(AND($C41&lt;=Wirtschaftlichkeit!$T$8,$C41&gt;=Wirtschaftlichkeit!$T$8*Eingabemaske!$B$18),$C41,"0"))</f>
        <v>17.172720000000002</v>
      </c>
      <c r="EH41" s="222">
        <v>2628</v>
      </c>
      <c r="EI41" s="224">
        <f t="shared" si="40"/>
        <v>1250.6619150000004</v>
      </c>
      <c r="EJ41" s="222">
        <v>2628</v>
      </c>
      <c r="EK41" s="226">
        <f t="shared" si="41"/>
        <v>17.172720000000002</v>
      </c>
      <c r="EL41" s="312">
        <v>2628</v>
      </c>
      <c r="EM41" s="286">
        <f>EG41*Wirtschaftlichkeit!$T$5/Wirtschaftlichkeit!$T$7</f>
        <v>8.1551055801758068</v>
      </c>
      <c r="EN41" s="284">
        <f t="shared" si="42"/>
        <v>593.92338324562786</v>
      </c>
      <c r="EP41" s="222">
        <v>2628</v>
      </c>
      <c r="EQ41" s="225">
        <f>IF($C41&gt;=Wirtschaftlichkeit!$U$8,Wirtschaftlichkeit!$U$8,IF(AND($C41&lt;=Wirtschaftlichkeit!$U$8,$C41&gt;=Wirtschaftlichkeit!$U$8*Eingabemaske!$B$18),$C41,"0"))</f>
        <v>17.172720000000002</v>
      </c>
      <c r="ER41" s="222">
        <v>2628</v>
      </c>
      <c r="ES41" s="224">
        <f t="shared" si="43"/>
        <v>1250.6619150000004</v>
      </c>
      <c r="ET41" s="222">
        <v>2628</v>
      </c>
      <c r="EU41" s="226">
        <f t="shared" si="44"/>
        <v>17.172720000000002</v>
      </c>
      <c r="EV41" s="312">
        <v>2628</v>
      </c>
      <c r="EW41" s="286">
        <f>EQ41*Wirtschaftlichkeit!$U$5/Wirtschaftlichkeit!$U$7</f>
        <v>8.2413429571277739</v>
      </c>
      <c r="EX41" s="284">
        <f t="shared" si="45"/>
        <v>600.20391440221374</v>
      </c>
      <c r="EZ41" s="222">
        <v>2628</v>
      </c>
      <c r="FA41" s="225">
        <f>IF($C41&gt;=Wirtschaftlichkeit!$V$8,Wirtschaftlichkeit!$V$8,IF(AND($C41&lt;=Wirtschaftlichkeit!$V$8,$C41&gt;=Wirtschaftlichkeit!$V$8*Eingabemaske!$B$18),$C41,"0"))</f>
        <v>17.172720000000002</v>
      </c>
      <c r="FB41" s="222">
        <v>2628</v>
      </c>
      <c r="FC41" s="224">
        <f t="shared" si="46"/>
        <v>1250.6619150000004</v>
      </c>
      <c r="FD41" s="222">
        <v>2628</v>
      </c>
      <c r="FE41" s="226">
        <f t="shared" si="47"/>
        <v>17.172720000000002</v>
      </c>
      <c r="FF41" s="312">
        <v>2628</v>
      </c>
      <c r="FG41" s="286">
        <f>FA41*Wirtschaftlichkeit!$V$5/Wirtschaftlichkeit!$V$7</f>
        <v>8.3231091601049947</v>
      </c>
      <c r="FH41" s="284">
        <f t="shared" si="48"/>
        <v>606.15881706165101</v>
      </c>
      <c r="FJ41" s="222">
        <v>2628</v>
      </c>
      <c r="FK41" s="225" t="str">
        <f>IF($C41&gt;=Wirtschaftlichkeit!$W$8,Wirtschaftlichkeit!$W$8,IF(AND($C41&lt;=Wirtschaftlichkeit!$W$8,$C41&gt;=Wirtschaftlichkeit!$W$8*Eingabemaske!$B$18),$C41,"0"))</f>
        <v>0</v>
      </c>
      <c r="FL41" s="222">
        <v>2628</v>
      </c>
      <c r="FM41" s="224">
        <f t="shared" si="49"/>
        <v>0</v>
      </c>
      <c r="FN41" s="222">
        <v>2628</v>
      </c>
      <c r="FO41" s="226" t="str">
        <f t="shared" si="50"/>
        <v xml:space="preserve"> </v>
      </c>
      <c r="FP41" s="312">
        <v>2628</v>
      </c>
      <c r="FQ41" s="286">
        <f>FK41*Wirtschaftlichkeit!$W$5/Wirtschaftlichkeit!$W$7</f>
        <v>0</v>
      </c>
      <c r="FR41" s="284">
        <f t="shared" si="51"/>
        <v>0</v>
      </c>
      <c r="FT41" s="222">
        <v>2628</v>
      </c>
      <c r="FU41" s="225" t="str">
        <f>IF($C41&gt;=Wirtschaftlichkeit!$X$8,Wirtschaftlichkeit!$X$8,IF(AND($C41&lt;=Wirtschaftlichkeit!$X$8,$C41&gt;=Wirtschaftlichkeit!$X$8*Eingabemaske!$B$18),$C41,"0"))</f>
        <v>0</v>
      </c>
      <c r="FV41" s="222">
        <v>2628</v>
      </c>
      <c r="FW41" s="224">
        <f t="shared" si="52"/>
        <v>0</v>
      </c>
      <c r="FX41" s="222">
        <v>2628</v>
      </c>
      <c r="FY41" s="226" t="str">
        <f t="shared" si="53"/>
        <v xml:space="preserve"> </v>
      </c>
      <c r="FZ41" s="312">
        <v>2628</v>
      </c>
      <c r="GA41" s="286">
        <f>FU41*Wirtschaftlichkeit!$X$5/Wirtschaftlichkeit!$X$7</f>
        <v>0</v>
      </c>
      <c r="GB41" s="284">
        <f t="shared" si="54"/>
        <v>0</v>
      </c>
      <c r="GD41" s="222">
        <v>2628</v>
      </c>
      <c r="GE41" s="225" t="str">
        <f>IF($C41&gt;=Wirtschaftlichkeit!$Y$8,Wirtschaftlichkeit!$Y$8,IF(AND($C41&lt;=Wirtschaftlichkeit!$Y$8,$C41&gt;=Wirtschaftlichkeit!$Y$8*Eingabemaske!$B$18),$C41,"0"))</f>
        <v>0</v>
      </c>
      <c r="GF41" s="222">
        <v>2628</v>
      </c>
      <c r="GG41" s="224">
        <f t="shared" si="55"/>
        <v>0</v>
      </c>
      <c r="GH41" s="222">
        <v>2628</v>
      </c>
      <c r="GI41" s="226" t="str">
        <f t="shared" si="56"/>
        <v xml:space="preserve"> </v>
      </c>
      <c r="GJ41" s="312">
        <v>2628</v>
      </c>
      <c r="GK41" s="286">
        <f>GE41*Wirtschaftlichkeit!$Y$5/Wirtschaftlichkeit!$Y$7</f>
        <v>0</v>
      </c>
      <c r="GL41" s="284">
        <f t="shared" si="57"/>
        <v>0</v>
      </c>
      <c r="GN41" s="222">
        <v>2628</v>
      </c>
      <c r="GO41" s="225" t="str">
        <f>IF($C41&gt;=Wirtschaftlichkeit!$Z$8,Wirtschaftlichkeit!$Z$8,IF(AND($C41&lt;=Wirtschaftlichkeit!$Z$8,$C41&gt;=Wirtschaftlichkeit!$Z$8*Eingabemaske!$B$18),$C41,"0"))</f>
        <v>0</v>
      </c>
      <c r="GP41" s="222">
        <v>2628</v>
      </c>
      <c r="GQ41" s="224">
        <f t="shared" si="58"/>
        <v>0</v>
      </c>
      <c r="GR41" s="222">
        <v>2628</v>
      </c>
      <c r="GS41" s="226" t="str">
        <f t="shared" si="59"/>
        <v xml:space="preserve"> </v>
      </c>
      <c r="GT41" s="312">
        <v>2628</v>
      </c>
      <c r="GU41" s="286">
        <f>GO41*Wirtschaftlichkeit!$Z$5/Wirtschaftlichkeit!$Z$7</f>
        <v>0</v>
      </c>
      <c r="GV41" s="284">
        <f t="shared" si="60"/>
        <v>0</v>
      </c>
      <c r="GW41" s="266"/>
      <c r="GX41" s="258">
        <v>2628</v>
      </c>
      <c r="GY41" s="270">
        <f>IF(Berechnung_Diagramme!$C$28=Berechnungen_Lastgang!$F$2,Berechnungen_Lastgang!G41,IF(Berechnung_Diagramme!$C$28=Berechnungen_Lastgang!$P$2,Berechnungen_Lastgang!Q41,IF(Berechnung_Diagramme!$C$28=Berechnungen_Lastgang!$Z$2,Berechnungen_Lastgang!AA41,IF(Berechnung_Diagramme!$C$28=Berechnungen_Lastgang!$AJ$2,Berechnungen_Lastgang!AK41,IF(Berechnung_Diagramme!$C$28=Berechnungen_Lastgang!$AT$2,Berechnungen_Lastgang!AU41,IF(Berechnung_Diagramme!$C$28=Berechnungen_Lastgang!$BD$2,Berechnungen_Lastgang!BE41,IF(Berechnung_Diagramme!$C$28=Berechnungen_Lastgang!$BN$2,Berechnungen_Lastgang!BO41,IF(Berechnung_Diagramme!$C$28=Berechnungen_Lastgang!$BX$2,Berechnungen_Lastgang!BY41,IF(Berechnung_Diagramme!$C$28=Berechnungen_Lastgang!$CH$2,Berechnungen_Lastgang!CI41,IF(Berechnung_Diagramme!$C$28=Berechnungen_Lastgang!$CR$2,Berechnungen_Lastgang!CS41,IF(Berechnung_Diagramme!$C$28=Berechnungen_Lastgang!$DB$2,Berechnungen_Lastgang!DC41,IF(Berechnung_Diagramme!$C$28=Berechnungen_Lastgang!$DL$2,Berechnungen_Lastgang!DM41,IF(Berechnung_Diagramme!$C$28=Berechnungen_Lastgang!$DV$2,Berechnungen_Lastgang!DW41,IF(Berechnung_Diagramme!$C$28=Berechnungen_Lastgang!$EF$2,Berechnungen_Lastgang!EG41,IF(Berechnung_Diagramme!$C$28=Berechnungen_Lastgang!$EP$2,Berechnungen_Lastgang!EQ41,IF(Berechnung_Diagramme!$C$28=Berechnungen_Lastgang!$EZ$2,Berechnungen_Lastgang!FA41,IF(Berechnung_Diagramme!$C$28=Berechnungen_Lastgang!$FJ$2,Berechnungen_Lastgang!FK41,IF(Berechnung_Diagramme!$C$28=Berechnungen_Lastgang!$FT$2,Berechnungen_Lastgang!FU41,IF(Berechnung_Diagramme!$C$28=Berechnungen_Lastgang!$GD$2,Berechnungen_Lastgang!GE41,IF(Berechnung_Diagramme!$C$28=Berechnungen_Lastgang!$GN$2,Berechnungen_Lastgang!GO41,""))))))))))))))))))))</f>
        <v>17.172720000000002</v>
      </c>
    </row>
    <row r="42" spans="2:207" ht="14.45" x14ac:dyDescent="0.3">
      <c r="B42" s="64">
        <v>2701</v>
      </c>
      <c r="C42" s="67">
        <f>C41+((C45-C41)/(B45-B41))*(B42-B41)</f>
        <v>17.091990000000003</v>
      </c>
      <c r="D42" s="66">
        <f t="shared" si="61"/>
        <v>1244.7686250000002</v>
      </c>
      <c r="F42" s="64">
        <v>2701</v>
      </c>
      <c r="G42" s="225">
        <f>IF($C42&gt;=Wirtschaftlichkeit!$G$8,Wirtschaftlichkeit!$G$8,IF(AND($C42&lt;=Wirtschaftlichkeit!$G$8,$C42&gt;=Wirtschaftlichkeit!$G$8*Eingabemaske!$B$18),$C42,"0"))</f>
        <v>2.8333333333333335</v>
      </c>
      <c r="H42" s="64">
        <v>2701</v>
      </c>
      <c r="I42" s="66">
        <f t="shared" si="62"/>
        <v>206.83333333333334</v>
      </c>
      <c r="J42" s="64">
        <v>2701</v>
      </c>
      <c r="K42" s="71">
        <f t="shared" si="63"/>
        <v>2.8333333333333335</v>
      </c>
      <c r="L42" s="312">
        <v>2701</v>
      </c>
      <c r="M42" s="286">
        <f>G42*Wirtschaftlichkeit!$G$5/Wirtschaftlichkeit!$G$7</f>
        <v>1</v>
      </c>
      <c r="N42" s="284">
        <f t="shared" si="3"/>
        <v>73</v>
      </c>
      <c r="P42" s="222">
        <v>2701</v>
      </c>
      <c r="Q42" s="225">
        <f>IF($C42&gt;=Wirtschaftlichkeit!$H$8,Wirtschaftlichkeit!$H$8,IF(AND($C42&lt;=Wirtschaftlichkeit!$H$8,$C42&gt;=Wirtschaftlichkeit!$H$8*Eingabemaske!$B$18),$C42,"0"))</f>
        <v>5.5876288659793811</v>
      </c>
      <c r="R42" s="222">
        <v>2701</v>
      </c>
      <c r="S42" s="224">
        <f t="shared" si="4"/>
        <v>407.89690721649481</v>
      </c>
      <c r="T42" s="222">
        <v>2701</v>
      </c>
      <c r="U42" s="226">
        <f t="shared" si="5"/>
        <v>5.5876288659793811</v>
      </c>
      <c r="V42" s="312">
        <v>2701</v>
      </c>
      <c r="W42" s="286">
        <f>Q42*Wirtschaftlichkeit!$H$5/Wirtschaftlichkeit!$H$7</f>
        <v>2</v>
      </c>
      <c r="X42" s="284">
        <f t="shared" si="6"/>
        <v>146</v>
      </c>
      <c r="Z42" s="222">
        <v>2701</v>
      </c>
      <c r="AA42" s="225">
        <f>IF($C42&gt;=Wirtschaftlichkeit!$I$8,Wirtschaftlichkeit!$I$8,IF(AND($C42&lt;=Wirtschaftlichkeit!$I$8,$C42&gt;=Wirtschaftlichkeit!$I$8*Eingabemaske!$B$18),$C42,"0"))</f>
        <v>8.2471643149712612</v>
      </c>
      <c r="AB42" s="222">
        <v>2701</v>
      </c>
      <c r="AC42" s="224">
        <f t="shared" si="7"/>
        <v>602.04299499290209</v>
      </c>
      <c r="AD42" s="222">
        <v>2701</v>
      </c>
      <c r="AE42" s="226">
        <f t="shared" si="8"/>
        <v>8.2471643149712612</v>
      </c>
      <c r="AF42" s="312">
        <v>2701</v>
      </c>
      <c r="AG42" s="286">
        <f>AA42*Wirtschaftlichkeit!$I$5/Wirtschaftlichkeit!$I$7</f>
        <v>3.0000000000000004</v>
      </c>
      <c r="AH42" s="284">
        <f t="shared" si="9"/>
        <v>219.00000000000003</v>
      </c>
      <c r="AJ42" s="222">
        <v>2701</v>
      </c>
      <c r="AK42" s="225">
        <f>IF($C42&gt;=Wirtschaftlichkeit!$J$8,Wirtschaftlichkeit!$J$8,IF(AND($C42&lt;=Wirtschaftlichkeit!$J$8,$C42&gt;=Wirtschaftlichkeit!$J$8*Eingabemaske!$B$18),$C42,"0"))</f>
        <v>10.537455322965799</v>
      </c>
      <c r="AL42" s="222">
        <v>2701</v>
      </c>
      <c r="AM42" s="224">
        <f t="shared" si="10"/>
        <v>769.23423857650334</v>
      </c>
      <c r="AN42" s="222">
        <v>2701</v>
      </c>
      <c r="AO42" s="226">
        <f t="shared" si="11"/>
        <v>10.537455322965799</v>
      </c>
      <c r="AP42" s="312">
        <v>2701</v>
      </c>
      <c r="AQ42" s="286">
        <f>AK42*Wirtschaftlichkeit!$J$5/Wirtschaftlichkeit!$J$7</f>
        <v>4</v>
      </c>
      <c r="AR42" s="284">
        <f t="shared" si="12"/>
        <v>292</v>
      </c>
      <c r="AT42" s="222">
        <v>2701</v>
      </c>
      <c r="AU42" s="225">
        <f>IF($C42&gt;=Wirtschaftlichkeit!$K$8,Wirtschaftlichkeit!$K$8,IF(AND($C42&lt;=Wirtschaftlichkeit!$K$8,$C42&gt;=Wirtschaftlichkeit!$K$8*Eingabemaske!$B$18),$C42,"0"))</f>
        <v>12.739122166763016</v>
      </c>
      <c r="AV42" s="222">
        <v>2701</v>
      </c>
      <c r="AW42" s="224">
        <f t="shared" si="13"/>
        <v>929.95591817370018</v>
      </c>
      <c r="AX42" s="222">
        <v>2701</v>
      </c>
      <c r="AY42" s="226">
        <f t="shared" si="14"/>
        <v>12.739122166763016</v>
      </c>
      <c r="AZ42" s="312">
        <v>2701</v>
      </c>
      <c r="BA42" s="286">
        <f>AU42*Wirtschaftlichkeit!$K$5/Wirtschaftlichkeit!$K$7</f>
        <v>5</v>
      </c>
      <c r="BB42" s="284">
        <f t="shared" si="15"/>
        <v>365</v>
      </c>
      <c r="BD42" s="222">
        <v>2701</v>
      </c>
      <c r="BE42" s="225">
        <f>IF($C42&gt;=Wirtschaftlichkeit!$L$8,Wirtschaftlichkeit!$L$8,IF(AND($C42&lt;=Wirtschaftlichkeit!$L$8,$C42&gt;=Wirtschaftlichkeit!$L$8*Eingabemaske!$B$18),$C42,"0"))</f>
        <v>14.87189090675227</v>
      </c>
      <c r="BF42" s="222">
        <v>2701</v>
      </c>
      <c r="BG42" s="224">
        <f t="shared" si="16"/>
        <v>1085.6480361929157</v>
      </c>
      <c r="BH42" s="222">
        <v>2701</v>
      </c>
      <c r="BI42" s="226">
        <f t="shared" si="17"/>
        <v>14.87189090675227</v>
      </c>
      <c r="BJ42" s="312">
        <v>2701</v>
      </c>
      <c r="BK42" s="286">
        <f>BE42*Wirtschaftlichkeit!$L$5/Wirtschaftlichkeit!$L$7</f>
        <v>6</v>
      </c>
      <c r="BL42" s="284">
        <f t="shared" si="18"/>
        <v>438</v>
      </c>
      <c r="BN42" s="222">
        <v>2701</v>
      </c>
      <c r="BO42" s="225">
        <f>IF($C42&gt;=Wirtschaftlichkeit!$M$8,Wirtschaftlichkeit!$M$8,IF(AND($C42&lt;=Wirtschaftlichkeit!$M$8,$C42&gt;=Wirtschaftlichkeit!$M$8*Eingabemaske!$B$18),$C42,"0"))</f>
        <v>16.948500863015312</v>
      </c>
      <c r="BP42" s="222">
        <v>2701</v>
      </c>
      <c r="BQ42" s="224">
        <f t="shared" si="19"/>
        <v>1237.2405630001178</v>
      </c>
      <c r="BR42" s="222">
        <v>2701</v>
      </c>
      <c r="BS42" s="226">
        <f t="shared" si="20"/>
        <v>16.948500863015312</v>
      </c>
      <c r="BT42" s="312">
        <v>2701</v>
      </c>
      <c r="BU42" s="286">
        <f>BO42*Wirtschaftlichkeit!$M$5/Wirtschaftlichkeit!$M$7</f>
        <v>7</v>
      </c>
      <c r="BV42" s="284">
        <f t="shared" si="21"/>
        <v>511</v>
      </c>
      <c r="BX42" s="222">
        <v>2701</v>
      </c>
      <c r="BY42" s="225">
        <f>IF($C42&gt;=Wirtschaftlichkeit!$N$8,Wirtschaftlichkeit!$N$8,IF(AND($C42&lt;=Wirtschaftlichkeit!$N$8,$C42&gt;=Wirtschaftlichkeit!$N$8*Eingabemaske!$B$18),$C42,"0"))</f>
        <v>17.091990000000003</v>
      </c>
      <c r="BZ42" s="222">
        <v>2701</v>
      </c>
      <c r="CA42" s="224">
        <f t="shared" si="22"/>
        <v>1244.7686250000002</v>
      </c>
      <c r="CB42" s="222">
        <v>2701</v>
      </c>
      <c r="CC42" s="226">
        <f t="shared" si="23"/>
        <v>17.091990000000003</v>
      </c>
      <c r="CD42" s="312">
        <v>2701</v>
      </c>
      <c r="CE42" s="286">
        <f>BY42*Wirtschaftlichkeit!$N$5/Wirtschaftlichkeit!$N$7</f>
        <v>7.2050313096854053</v>
      </c>
      <c r="CF42" s="284">
        <f t="shared" si="24"/>
        <v>524.72514414290265</v>
      </c>
      <c r="CH42" s="222">
        <v>2701</v>
      </c>
      <c r="CI42" s="225">
        <f>IF($C42&gt;=Wirtschaftlichkeit!$O$8,Wirtschaftlichkeit!$O$8,IF(AND($C42&lt;=Wirtschaftlichkeit!$O$8,$C42&gt;=Wirtschaftlichkeit!$O$8*Eingabemaske!$B$18),$C42,"0"))</f>
        <v>17.091990000000003</v>
      </c>
      <c r="CJ42" s="222">
        <v>2701</v>
      </c>
      <c r="CK42" s="224">
        <f t="shared" si="25"/>
        <v>1244.7686250000002</v>
      </c>
      <c r="CL42" s="222">
        <v>2701</v>
      </c>
      <c r="CM42" s="226">
        <f t="shared" si="26"/>
        <v>17.091990000000003</v>
      </c>
      <c r="CN42" s="312">
        <v>2701</v>
      </c>
      <c r="CO42" s="286">
        <f>CI42*Wirtschaftlichkeit!$O$5/Wirtschaftlichkeit!$O$7</f>
        <v>7.3368624387655572</v>
      </c>
      <c r="CP42" s="284">
        <f t="shared" si="27"/>
        <v>534.32608898766898</v>
      </c>
      <c r="CR42" s="222">
        <v>2701</v>
      </c>
      <c r="CS42" s="225">
        <f>IF($C42&gt;=Wirtschaftlichkeit!$P$8,Wirtschaftlichkeit!$P$8,IF(AND($C42&lt;=Wirtschaftlichkeit!$P$8,$C42&gt;=Wirtschaftlichkeit!$P$8*Eingabemaske!$B$18),$C42,"0"))</f>
        <v>17.091990000000003</v>
      </c>
      <c r="CT42" s="222">
        <v>2701</v>
      </c>
      <c r="CU42" s="224">
        <f t="shared" si="28"/>
        <v>1244.7686250000002</v>
      </c>
      <c r="CV42" s="222">
        <v>2701</v>
      </c>
      <c r="CW42" s="226">
        <f t="shared" si="29"/>
        <v>17.091990000000003</v>
      </c>
      <c r="CX42" s="312">
        <v>2701</v>
      </c>
      <c r="CY42" s="286">
        <f>CS42*Wirtschaftlichkeit!$P$5/Wirtschaftlichkeit!$P$7</f>
        <v>7.4574588497763781</v>
      </c>
      <c r="CZ42" s="284">
        <f t="shared" si="30"/>
        <v>543.10883626951704</v>
      </c>
      <c r="DB42" s="222">
        <v>2701</v>
      </c>
      <c r="DC42" s="225">
        <f>IF($C42&gt;=Wirtschaftlichkeit!$Q$8,Wirtschaftlichkeit!$Q$8,IF(AND($C42&lt;=Wirtschaftlichkeit!$Q$8,$C42&gt;=Wirtschaftlichkeit!$Q$8*Eingabemaske!$B$18),$C42,"0"))</f>
        <v>17.091990000000003</v>
      </c>
      <c r="DD42" s="222">
        <v>2701</v>
      </c>
      <c r="DE42" s="224">
        <f t="shared" si="31"/>
        <v>1244.7686250000002</v>
      </c>
      <c r="DF42" s="222">
        <v>2701</v>
      </c>
      <c r="DG42" s="226">
        <f t="shared" si="32"/>
        <v>17.091990000000003</v>
      </c>
      <c r="DH42" s="312">
        <v>2701</v>
      </c>
      <c r="DI42" s="286">
        <f>DC42*Wirtschaftlichkeit!$Q$5/Wirtschaftlichkeit!$Q$7</f>
        <v>7.8258990340362633</v>
      </c>
      <c r="DJ42" s="284">
        <f t="shared" si="33"/>
        <v>569.94145093614884</v>
      </c>
      <c r="DL42" s="222">
        <v>2701</v>
      </c>
      <c r="DM42" s="225">
        <f>IF($C42&gt;=Wirtschaftlichkeit!$R$8,Wirtschaftlichkeit!$R$8,IF(AND($C42&lt;=Wirtschaftlichkeit!$R$8,$C42&gt;=Wirtschaftlichkeit!$R$8*Eingabemaske!$B$18),$C42,"0"))</f>
        <v>17.091990000000003</v>
      </c>
      <c r="DN42" s="222">
        <v>2701</v>
      </c>
      <c r="DO42" s="224">
        <f t="shared" si="34"/>
        <v>1244.7686250000002</v>
      </c>
      <c r="DP42" s="222">
        <v>2701</v>
      </c>
      <c r="DQ42" s="226">
        <f t="shared" si="35"/>
        <v>17.091990000000003</v>
      </c>
      <c r="DR42" s="312">
        <v>2701</v>
      </c>
      <c r="DS42" s="286">
        <f>DM42*Wirtschaftlichkeit!$R$5/Wirtschaftlichkeit!$R$7</f>
        <v>7.9292363769303353</v>
      </c>
      <c r="DT42" s="284">
        <f t="shared" si="36"/>
        <v>577.46726169460396</v>
      </c>
      <c r="DV42" s="222">
        <v>2701</v>
      </c>
      <c r="DW42" s="225">
        <f>IF($C42&gt;=Wirtschaftlichkeit!$S$8,Wirtschaftlichkeit!$S$8,IF(AND($C42&lt;=Wirtschaftlichkeit!$S$8,$C42&gt;=Wirtschaftlichkeit!$S$8*Eingabemaske!$B$18),$C42,"0"))</f>
        <v>17.091990000000003</v>
      </c>
      <c r="DX42" s="222">
        <v>2701</v>
      </c>
      <c r="DY42" s="224">
        <f t="shared" si="37"/>
        <v>1244.7686250000002</v>
      </c>
      <c r="DZ42" s="222">
        <v>2701</v>
      </c>
      <c r="EA42" s="226">
        <f t="shared" si="38"/>
        <v>17.091990000000003</v>
      </c>
      <c r="EB42" s="312">
        <v>2701</v>
      </c>
      <c r="EC42" s="286">
        <f>DW42*Wirtschaftlichkeit!$S$5/Wirtschaftlichkeit!$S$7</f>
        <v>8.0258900013138845</v>
      </c>
      <c r="ED42" s="284">
        <f t="shared" si="39"/>
        <v>584.50631326935786</v>
      </c>
      <c r="EF42" s="222">
        <v>2701</v>
      </c>
      <c r="EG42" s="225">
        <f>IF($C42&gt;=Wirtschaftlichkeit!$T$8,Wirtschaftlichkeit!$T$8,IF(AND($C42&lt;=Wirtschaftlichkeit!$T$8,$C42&gt;=Wirtschaftlichkeit!$T$8*Eingabemaske!$B$18),$C42,"0"))</f>
        <v>17.091990000000003</v>
      </c>
      <c r="EH42" s="222">
        <v>2701</v>
      </c>
      <c r="EI42" s="224">
        <f t="shared" si="40"/>
        <v>1244.7686250000002</v>
      </c>
      <c r="EJ42" s="222">
        <v>2701</v>
      </c>
      <c r="EK42" s="226">
        <f t="shared" si="41"/>
        <v>17.091990000000003</v>
      </c>
      <c r="EL42" s="312">
        <v>2701</v>
      </c>
      <c r="EM42" s="286">
        <f>EG42*Wirtschaftlichkeit!$T$5/Wirtschaftlichkeit!$T$7</f>
        <v>8.1167679334030414</v>
      </c>
      <c r="EN42" s="284">
        <f t="shared" si="42"/>
        <v>591.12473503121612</v>
      </c>
      <c r="EP42" s="222">
        <v>2701</v>
      </c>
      <c r="EQ42" s="225">
        <f>IF($C42&gt;=Wirtschaftlichkeit!$U$8,Wirtschaftlichkeit!$U$8,IF(AND($C42&lt;=Wirtschaftlichkeit!$U$8,$C42&gt;=Wirtschaftlichkeit!$U$8*Eingabemaske!$B$18),$C42,"0"))</f>
        <v>17.091990000000003</v>
      </c>
      <c r="ER42" s="222">
        <v>2701</v>
      </c>
      <c r="ES42" s="224">
        <f t="shared" si="43"/>
        <v>1244.7686250000002</v>
      </c>
      <c r="ET42" s="222">
        <v>2701</v>
      </c>
      <c r="EU42" s="226">
        <f t="shared" si="44"/>
        <v>17.091990000000003</v>
      </c>
      <c r="EV42" s="312">
        <v>2701</v>
      </c>
      <c r="EW42" s="286">
        <f>EQ42*Wirtschaftlichkeit!$U$5/Wirtschaftlichkeit!$U$7</f>
        <v>8.2025999032068491</v>
      </c>
      <c r="EX42" s="284">
        <f t="shared" si="45"/>
        <v>597.37567146598622</v>
      </c>
      <c r="EZ42" s="222">
        <v>2701</v>
      </c>
      <c r="FA42" s="225">
        <f>IF($C42&gt;=Wirtschaftlichkeit!$V$8,Wirtschaftlichkeit!$V$8,IF(AND($C42&lt;=Wirtschaftlichkeit!$V$8,$C42&gt;=Wirtschaftlichkeit!$V$8*Eingabemaske!$B$18),$C42,"0"))</f>
        <v>17.091990000000003</v>
      </c>
      <c r="FB42" s="222">
        <v>2701</v>
      </c>
      <c r="FC42" s="224">
        <f t="shared" si="46"/>
        <v>1244.7686250000002</v>
      </c>
      <c r="FD42" s="222">
        <v>2701</v>
      </c>
      <c r="FE42" s="226">
        <f t="shared" si="47"/>
        <v>17.091990000000003</v>
      </c>
      <c r="FF42" s="312">
        <v>2701</v>
      </c>
      <c r="FG42" s="286">
        <f>FA42*Wirtschaftlichkeit!$V$5/Wirtschaftlichkeit!$V$7</f>
        <v>8.2839817182964026</v>
      </c>
      <c r="FH42" s="284">
        <f t="shared" si="48"/>
        <v>603.30251380962363</v>
      </c>
      <c r="FJ42" s="222">
        <v>2701</v>
      </c>
      <c r="FK42" s="225" t="str">
        <f>IF($C42&gt;=Wirtschaftlichkeit!$W$8,Wirtschaftlichkeit!$W$8,IF(AND($C42&lt;=Wirtschaftlichkeit!$W$8,$C42&gt;=Wirtschaftlichkeit!$W$8*Eingabemaske!$B$18),$C42,"0"))</f>
        <v>0</v>
      </c>
      <c r="FL42" s="222">
        <v>2701</v>
      </c>
      <c r="FM42" s="224">
        <f t="shared" si="49"/>
        <v>0</v>
      </c>
      <c r="FN42" s="222">
        <v>2701</v>
      </c>
      <c r="FO42" s="226" t="str">
        <f t="shared" si="50"/>
        <v xml:space="preserve"> </v>
      </c>
      <c r="FP42" s="312">
        <v>2701</v>
      </c>
      <c r="FQ42" s="286">
        <f>FK42*Wirtschaftlichkeit!$W$5/Wirtschaftlichkeit!$W$7</f>
        <v>0</v>
      </c>
      <c r="FR42" s="284">
        <f t="shared" si="51"/>
        <v>0</v>
      </c>
      <c r="FT42" s="222">
        <v>2701</v>
      </c>
      <c r="FU42" s="225" t="str">
        <f>IF($C42&gt;=Wirtschaftlichkeit!$X$8,Wirtschaftlichkeit!$X$8,IF(AND($C42&lt;=Wirtschaftlichkeit!$X$8,$C42&gt;=Wirtschaftlichkeit!$X$8*Eingabemaske!$B$18),$C42,"0"))</f>
        <v>0</v>
      </c>
      <c r="FV42" s="222">
        <v>2701</v>
      </c>
      <c r="FW42" s="224">
        <f t="shared" si="52"/>
        <v>0</v>
      </c>
      <c r="FX42" s="222">
        <v>2701</v>
      </c>
      <c r="FY42" s="226" t="str">
        <f t="shared" si="53"/>
        <v xml:space="preserve"> </v>
      </c>
      <c r="FZ42" s="312">
        <v>2701</v>
      </c>
      <c r="GA42" s="286">
        <f>FU42*Wirtschaftlichkeit!$X$5/Wirtschaftlichkeit!$X$7</f>
        <v>0</v>
      </c>
      <c r="GB42" s="284">
        <f t="shared" si="54"/>
        <v>0</v>
      </c>
      <c r="GD42" s="222">
        <v>2701</v>
      </c>
      <c r="GE42" s="225" t="str">
        <f>IF($C42&gt;=Wirtschaftlichkeit!$Y$8,Wirtschaftlichkeit!$Y$8,IF(AND($C42&lt;=Wirtschaftlichkeit!$Y$8,$C42&gt;=Wirtschaftlichkeit!$Y$8*Eingabemaske!$B$18),$C42,"0"))</f>
        <v>0</v>
      </c>
      <c r="GF42" s="222">
        <v>2701</v>
      </c>
      <c r="GG42" s="224">
        <f t="shared" si="55"/>
        <v>0</v>
      </c>
      <c r="GH42" s="222">
        <v>2701</v>
      </c>
      <c r="GI42" s="226" t="str">
        <f t="shared" si="56"/>
        <v xml:space="preserve"> </v>
      </c>
      <c r="GJ42" s="312">
        <v>2701</v>
      </c>
      <c r="GK42" s="286">
        <f>GE42*Wirtschaftlichkeit!$Y$5/Wirtschaftlichkeit!$Y$7</f>
        <v>0</v>
      </c>
      <c r="GL42" s="284">
        <f t="shared" si="57"/>
        <v>0</v>
      </c>
      <c r="GN42" s="222">
        <v>2701</v>
      </c>
      <c r="GO42" s="225" t="str">
        <f>IF($C42&gt;=Wirtschaftlichkeit!$Z$8,Wirtschaftlichkeit!$Z$8,IF(AND($C42&lt;=Wirtschaftlichkeit!$Z$8,$C42&gt;=Wirtschaftlichkeit!$Z$8*Eingabemaske!$B$18),$C42,"0"))</f>
        <v>0</v>
      </c>
      <c r="GP42" s="222">
        <v>2701</v>
      </c>
      <c r="GQ42" s="224">
        <f t="shared" si="58"/>
        <v>0</v>
      </c>
      <c r="GR42" s="222">
        <v>2701</v>
      </c>
      <c r="GS42" s="226" t="str">
        <f t="shared" si="59"/>
        <v xml:space="preserve"> </v>
      </c>
      <c r="GT42" s="312">
        <v>2701</v>
      </c>
      <c r="GU42" s="286">
        <f>GO42*Wirtschaftlichkeit!$Z$5/Wirtschaftlichkeit!$Z$7</f>
        <v>0</v>
      </c>
      <c r="GV42" s="284">
        <f t="shared" si="60"/>
        <v>0</v>
      </c>
      <c r="GW42" s="266"/>
      <c r="GX42" s="258">
        <v>2701</v>
      </c>
      <c r="GY42" s="270">
        <f>IF(Berechnung_Diagramme!$C$28=Berechnungen_Lastgang!$F$2,Berechnungen_Lastgang!G42,IF(Berechnung_Diagramme!$C$28=Berechnungen_Lastgang!$P$2,Berechnungen_Lastgang!Q42,IF(Berechnung_Diagramme!$C$28=Berechnungen_Lastgang!$Z$2,Berechnungen_Lastgang!AA42,IF(Berechnung_Diagramme!$C$28=Berechnungen_Lastgang!$AJ$2,Berechnungen_Lastgang!AK42,IF(Berechnung_Diagramme!$C$28=Berechnungen_Lastgang!$AT$2,Berechnungen_Lastgang!AU42,IF(Berechnung_Diagramme!$C$28=Berechnungen_Lastgang!$BD$2,Berechnungen_Lastgang!BE42,IF(Berechnung_Diagramme!$C$28=Berechnungen_Lastgang!$BN$2,Berechnungen_Lastgang!BO42,IF(Berechnung_Diagramme!$C$28=Berechnungen_Lastgang!$BX$2,Berechnungen_Lastgang!BY42,IF(Berechnung_Diagramme!$C$28=Berechnungen_Lastgang!$CH$2,Berechnungen_Lastgang!CI42,IF(Berechnung_Diagramme!$C$28=Berechnungen_Lastgang!$CR$2,Berechnungen_Lastgang!CS42,IF(Berechnung_Diagramme!$C$28=Berechnungen_Lastgang!$DB$2,Berechnungen_Lastgang!DC42,IF(Berechnung_Diagramme!$C$28=Berechnungen_Lastgang!$DL$2,Berechnungen_Lastgang!DM42,IF(Berechnung_Diagramme!$C$28=Berechnungen_Lastgang!$DV$2,Berechnungen_Lastgang!DW42,IF(Berechnung_Diagramme!$C$28=Berechnungen_Lastgang!$EF$2,Berechnungen_Lastgang!EG42,IF(Berechnung_Diagramme!$C$28=Berechnungen_Lastgang!$EP$2,Berechnungen_Lastgang!EQ42,IF(Berechnung_Diagramme!$C$28=Berechnungen_Lastgang!$EZ$2,Berechnungen_Lastgang!FA42,IF(Berechnung_Diagramme!$C$28=Berechnungen_Lastgang!$FJ$2,Berechnungen_Lastgang!FK42,IF(Berechnung_Diagramme!$C$28=Berechnungen_Lastgang!$FT$2,Berechnungen_Lastgang!FU42,IF(Berechnung_Diagramme!$C$28=Berechnungen_Lastgang!$GD$2,Berechnungen_Lastgang!GE42,IF(Berechnung_Diagramme!$C$28=Berechnungen_Lastgang!$GN$2,Berechnungen_Lastgang!GO42,""))))))))))))))))))))</f>
        <v>17.091990000000003</v>
      </c>
    </row>
    <row r="43" spans="2:207" ht="14.45" x14ac:dyDescent="0.3">
      <c r="B43" s="64">
        <v>2774</v>
      </c>
      <c r="C43" s="67">
        <f>C42+((C45-C42)/(B45-B42))*(B43-B42)</f>
        <v>17.01126</v>
      </c>
      <c r="D43" s="66">
        <f t="shared" si="61"/>
        <v>1238.875335</v>
      </c>
      <c r="F43" s="64">
        <v>2774</v>
      </c>
      <c r="G43" s="225">
        <f>IF($C43&gt;=Wirtschaftlichkeit!$G$8,Wirtschaftlichkeit!$G$8,IF(AND($C43&lt;=Wirtschaftlichkeit!$G$8,$C43&gt;=Wirtschaftlichkeit!$G$8*Eingabemaske!$B$18),$C43,"0"))</f>
        <v>2.8333333333333335</v>
      </c>
      <c r="H43" s="64">
        <v>2774</v>
      </c>
      <c r="I43" s="66">
        <f t="shared" si="62"/>
        <v>206.83333333333334</v>
      </c>
      <c r="J43" s="64">
        <v>2774</v>
      </c>
      <c r="K43" s="71">
        <f t="shared" si="63"/>
        <v>2.8333333333333335</v>
      </c>
      <c r="L43" s="312">
        <v>2774</v>
      </c>
      <c r="M43" s="286">
        <f>G43*Wirtschaftlichkeit!$G$5/Wirtschaftlichkeit!$G$7</f>
        <v>1</v>
      </c>
      <c r="N43" s="284">
        <f t="shared" si="3"/>
        <v>73</v>
      </c>
      <c r="P43" s="222">
        <v>2774</v>
      </c>
      <c r="Q43" s="225">
        <f>IF($C43&gt;=Wirtschaftlichkeit!$H$8,Wirtschaftlichkeit!$H$8,IF(AND($C43&lt;=Wirtschaftlichkeit!$H$8,$C43&gt;=Wirtschaftlichkeit!$H$8*Eingabemaske!$B$18),$C43,"0"))</f>
        <v>5.5876288659793811</v>
      </c>
      <c r="R43" s="222">
        <v>2774</v>
      </c>
      <c r="S43" s="224">
        <f t="shared" si="4"/>
        <v>407.89690721649481</v>
      </c>
      <c r="T43" s="222">
        <v>2774</v>
      </c>
      <c r="U43" s="226">
        <f t="shared" si="5"/>
        <v>5.5876288659793811</v>
      </c>
      <c r="V43" s="312">
        <v>2774</v>
      </c>
      <c r="W43" s="286">
        <f>Q43*Wirtschaftlichkeit!$H$5/Wirtschaftlichkeit!$H$7</f>
        <v>2</v>
      </c>
      <c r="X43" s="284">
        <f t="shared" si="6"/>
        <v>146</v>
      </c>
      <c r="Z43" s="222">
        <v>2774</v>
      </c>
      <c r="AA43" s="225">
        <f>IF($C43&gt;=Wirtschaftlichkeit!$I$8,Wirtschaftlichkeit!$I$8,IF(AND($C43&lt;=Wirtschaftlichkeit!$I$8,$C43&gt;=Wirtschaftlichkeit!$I$8*Eingabemaske!$B$18),$C43,"0"))</f>
        <v>8.2471643149712612</v>
      </c>
      <c r="AB43" s="222">
        <v>2774</v>
      </c>
      <c r="AC43" s="224">
        <f t="shared" si="7"/>
        <v>602.04299499290209</v>
      </c>
      <c r="AD43" s="222">
        <v>2774</v>
      </c>
      <c r="AE43" s="226">
        <f t="shared" si="8"/>
        <v>8.2471643149712612</v>
      </c>
      <c r="AF43" s="312">
        <v>2774</v>
      </c>
      <c r="AG43" s="286">
        <f>AA43*Wirtschaftlichkeit!$I$5/Wirtschaftlichkeit!$I$7</f>
        <v>3.0000000000000004</v>
      </c>
      <c r="AH43" s="284">
        <f t="shared" si="9"/>
        <v>219.00000000000003</v>
      </c>
      <c r="AJ43" s="222">
        <v>2774</v>
      </c>
      <c r="AK43" s="225">
        <f>IF($C43&gt;=Wirtschaftlichkeit!$J$8,Wirtschaftlichkeit!$J$8,IF(AND($C43&lt;=Wirtschaftlichkeit!$J$8,$C43&gt;=Wirtschaftlichkeit!$J$8*Eingabemaske!$B$18),$C43,"0"))</f>
        <v>10.537455322965799</v>
      </c>
      <c r="AL43" s="222">
        <v>2774</v>
      </c>
      <c r="AM43" s="224">
        <f t="shared" si="10"/>
        <v>769.23423857650334</v>
      </c>
      <c r="AN43" s="222">
        <v>2774</v>
      </c>
      <c r="AO43" s="226">
        <f t="shared" si="11"/>
        <v>10.537455322965799</v>
      </c>
      <c r="AP43" s="312">
        <v>2774</v>
      </c>
      <c r="AQ43" s="286">
        <f>AK43*Wirtschaftlichkeit!$J$5/Wirtschaftlichkeit!$J$7</f>
        <v>4</v>
      </c>
      <c r="AR43" s="284">
        <f t="shared" si="12"/>
        <v>292</v>
      </c>
      <c r="AT43" s="222">
        <v>2774</v>
      </c>
      <c r="AU43" s="225">
        <f>IF($C43&gt;=Wirtschaftlichkeit!$K$8,Wirtschaftlichkeit!$K$8,IF(AND($C43&lt;=Wirtschaftlichkeit!$K$8,$C43&gt;=Wirtschaftlichkeit!$K$8*Eingabemaske!$B$18),$C43,"0"))</f>
        <v>12.739122166763016</v>
      </c>
      <c r="AV43" s="222">
        <v>2774</v>
      </c>
      <c r="AW43" s="224">
        <f t="shared" si="13"/>
        <v>929.95591817370018</v>
      </c>
      <c r="AX43" s="222">
        <v>2774</v>
      </c>
      <c r="AY43" s="226">
        <f t="shared" si="14"/>
        <v>12.739122166763016</v>
      </c>
      <c r="AZ43" s="312">
        <v>2774</v>
      </c>
      <c r="BA43" s="286">
        <f>AU43*Wirtschaftlichkeit!$K$5/Wirtschaftlichkeit!$K$7</f>
        <v>5</v>
      </c>
      <c r="BB43" s="284">
        <f t="shared" si="15"/>
        <v>365</v>
      </c>
      <c r="BD43" s="222">
        <v>2774</v>
      </c>
      <c r="BE43" s="225">
        <f>IF($C43&gt;=Wirtschaftlichkeit!$L$8,Wirtschaftlichkeit!$L$8,IF(AND($C43&lt;=Wirtschaftlichkeit!$L$8,$C43&gt;=Wirtschaftlichkeit!$L$8*Eingabemaske!$B$18),$C43,"0"))</f>
        <v>14.87189090675227</v>
      </c>
      <c r="BF43" s="222">
        <v>2774</v>
      </c>
      <c r="BG43" s="224">
        <f t="shared" si="16"/>
        <v>1085.6480361929157</v>
      </c>
      <c r="BH43" s="222">
        <v>2774</v>
      </c>
      <c r="BI43" s="226">
        <f t="shared" si="17"/>
        <v>14.87189090675227</v>
      </c>
      <c r="BJ43" s="312">
        <v>2774</v>
      </c>
      <c r="BK43" s="286">
        <f>BE43*Wirtschaftlichkeit!$L$5/Wirtschaftlichkeit!$L$7</f>
        <v>6</v>
      </c>
      <c r="BL43" s="284">
        <f t="shared" si="18"/>
        <v>438</v>
      </c>
      <c r="BN43" s="222">
        <v>2774</v>
      </c>
      <c r="BO43" s="225">
        <f>IF($C43&gt;=Wirtschaftlichkeit!$M$8,Wirtschaftlichkeit!$M$8,IF(AND($C43&lt;=Wirtschaftlichkeit!$M$8,$C43&gt;=Wirtschaftlichkeit!$M$8*Eingabemaske!$B$18),$C43,"0"))</f>
        <v>16.948500863015312</v>
      </c>
      <c r="BP43" s="222">
        <v>2774</v>
      </c>
      <c r="BQ43" s="224">
        <f t="shared" si="19"/>
        <v>1236.5846265000587</v>
      </c>
      <c r="BR43" s="222">
        <v>2774</v>
      </c>
      <c r="BS43" s="226">
        <f t="shared" si="20"/>
        <v>16.948500863015312</v>
      </c>
      <c r="BT43" s="312">
        <v>2774</v>
      </c>
      <c r="BU43" s="286">
        <f>BO43*Wirtschaftlichkeit!$M$5/Wirtschaftlichkeit!$M$7</f>
        <v>7</v>
      </c>
      <c r="BV43" s="284">
        <f t="shared" si="21"/>
        <v>510.72908780915054</v>
      </c>
      <c r="BX43" s="222">
        <v>2774</v>
      </c>
      <c r="BY43" s="225">
        <f>IF($C43&gt;=Wirtschaftlichkeit!$N$8,Wirtschaftlichkeit!$N$8,IF(AND($C43&lt;=Wirtschaftlichkeit!$N$8,$C43&gt;=Wirtschaftlichkeit!$N$8*Eingabemaske!$B$18),$C43,"0"))</f>
        <v>17.01126</v>
      </c>
      <c r="BZ43" s="222">
        <v>2774</v>
      </c>
      <c r="CA43" s="224">
        <f t="shared" si="22"/>
        <v>1238.875335</v>
      </c>
      <c r="CB43" s="222">
        <v>2774</v>
      </c>
      <c r="CC43" s="226">
        <f t="shared" si="23"/>
        <v>17.01126</v>
      </c>
      <c r="CD43" s="312">
        <v>2774</v>
      </c>
      <c r="CE43" s="286">
        <f>BY43*Wirtschaftlichkeit!$N$5/Wirtschaftlichkeit!$N$7</f>
        <v>7.1710000366954896</v>
      </c>
      <c r="CF43" s="284">
        <f t="shared" si="24"/>
        <v>522.24086121463881</v>
      </c>
      <c r="CH43" s="222">
        <v>2774</v>
      </c>
      <c r="CI43" s="225">
        <f>IF($C43&gt;=Wirtschaftlichkeit!$O$8,Wirtschaftlichkeit!$O$8,IF(AND($C43&lt;=Wirtschaftlichkeit!$O$8,$C43&gt;=Wirtschaftlichkeit!$O$8*Eingabemaske!$B$18),$C43,"0"))</f>
        <v>17.01126</v>
      </c>
      <c r="CJ43" s="222">
        <v>2774</v>
      </c>
      <c r="CK43" s="224">
        <f t="shared" si="25"/>
        <v>1238.875335</v>
      </c>
      <c r="CL43" s="222">
        <v>2774</v>
      </c>
      <c r="CM43" s="226">
        <f t="shared" si="26"/>
        <v>17.01126</v>
      </c>
      <c r="CN43" s="312">
        <v>2774</v>
      </c>
      <c r="CO43" s="286">
        <f>CI43*Wirtschaftlichkeit!$O$5/Wirtschaftlichkeit!$O$7</f>
        <v>7.302208492403456</v>
      </c>
      <c r="CP43" s="284">
        <f t="shared" si="27"/>
        <v>531.79635090323563</v>
      </c>
      <c r="CR43" s="222">
        <v>2774</v>
      </c>
      <c r="CS43" s="225">
        <f>IF($C43&gt;=Wirtschaftlichkeit!$P$8,Wirtschaftlichkeit!$P$8,IF(AND($C43&lt;=Wirtschaftlichkeit!$P$8,$C43&gt;=Wirtschaftlichkeit!$P$8*Eingabemaske!$B$18),$C43,"0"))</f>
        <v>17.01126</v>
      </c>
      <c r="CT43" s="222">
        <v>2774</v>
      </c>
      <c r="CU43" s="224">
        <f t="shared" si="28"/>
        <v>1238.875335</v>
      </c>
      <c r="CV43" s="222">
        <v>2774</v>
      </c>
      <c r="CW43" s="226">
        <f t="shared" si="29"/>
        <v>17.01126</v>
      </c>
      <c r="CX43" s="312">
        <v>2774</v>
      </c>
      <c r="CY43" s="286">
        <f>CS43*Wirtschaftlichkeit!$P$5/Wirtschaftlichkeit!$P$7</f>
        <v>7.4222352945939525</v>
      </c>
      <c r="CZ43" s="284">
        <f t="shared" si="30"/>
        <v>540.53751674120008</v>
      </c>
      <c r="DB43" s="222">
        <v>2774</v>
      </c>
      <c r="DC43" s="225">
        <f>IF($C43&gt;=Wirtschaftlichkeit!$Q$8,Wirtschaftlichkeit!$Q$8,IF(AND($C43&lt;=Wirtschaftlichkeit!$Q$8,$C43&gt;=Wirtschaftlichkeit!$Q$8*Eingabemaske!$B$18),$C43,"0"))</f>
        <v>17.01126</v>
      </c>
      <c r="DD43" s="222">
        <v>2774</v>
      </c>
      <c r="DE43" s="224">
        <f t="shared" si="31"/>
        <v>1238.875335</v>
      </c>
      <c r="DF43" s="222">
        <v>2774</v>
      </c>
      <c r="DG43" s="226">
        <f t="shared" si="32"/>
        <v>17.01126</v>
      </c>
      <c r="DH43" s="312">
        <v>2774</v>
      </c>
      <c r="DI43" s="286">
        <f>DC43*Wirtschaftlichkeit!$Q$5/Wirtschaftlichkeit!$Q$7</f>
        <v>7.7889352381869923</v>
      </c>
      <c r="DJ43" s="284">
        <f t="shared" si="33"/>
        <v>567.24309383915215</v>
      </c>
      <c r="DL43" s="222">
        <v>2774</v>
      </c>
      <c r="DM43" s="225">
        <f>IF($C43&gt;=Wirtschaftlichkeit!$R$8,Wirtschaftlichkeit!$R$8,IF(AND($C43&lt;=Wirtschaftlichkeit!$R$8,$C43&gt;=Wirtschaftlichkeit!$R$8*Eingabemaske!$B$18),$C43,"0"))</f>
        <v>17.01126</v>
      </c>
      <c r="DN43" s="222">
        <v>2774</v>
      </c>
      <c r="DO43" s="224">
        <f t="shared" si="34"/>
        <v>1238.875335</v>
      </c>
      <c r="DP43" s="222">
        <v>2774</v>
      </c>
      <c r="DQ43" s="226">
        <f t="shared" si="35"/>
        <v>17.01126</v>
      </c>
      <c r="DR43" s="312">
        <v>2774</v>
      </c>
      <c r="DS43" s="286">
        <f>DM43*Wirtschaftlichkeit!$R$5/Wirtschaftlichkeit!$R$7</f>
        <v>7.8917844914149802</v>
      </c>
      <c r="DT43" s="284">
        <f t="shared" si="36"/>
        <v>574.73327405198313</v>
      </c>
      <c r="DV43" s="222">
        <v>2774</v>
      </c>
      <c r="DW43" s="225">
        <f>IF($C43&gt;=Wirtschaftlichkeit!$S$8,Wirtschaftlichkeit!$S$8,IF(AND($C43&lt;=Wirtschaftlichkeit!$S$8,$C43&gt;=Wirtschaftlichkeit!$S$8*Eingabemaske!$B$18),$C43,"0"))</f>
        <v>17.01126</v>
      </c>
      <c r="DX43" s="222">
        <v>2774</v>
      </c>
      <c r="DY43" s="224">
        <f t="shared" si="37"/>
        <v>1238.875335</v>
      </c>
      <c r="DZ43" s="222">
        <v>2774</v>
      </c>
      <c r="EA43" s="226">
        <f t="shared" si="38"/>
        <v>17.01126</v>
      </c>
      <c r="EB43" s="312">
        <v>2774</v>
      </c>
      <c r="EC43" s="286">
        <f>DW43*Wirtschaftlichkeit!$S$5/Wirtschaftlichkeit!$S$7</f>
        <v>7.987981595106878</v>
      </c>
      <c r="ED43" s="284">
        <f t="shared" si="39"/>
        <v>581.73899961624636</v>
      </c>
      <c r="EF43" s="222">
        <v>2774</v>
      </c>
      <c r="EG43" s="225">
        <f>IF($C43&gt;=Wirtschaftlichkeit!$T$8,Wirtschaftlichkeit!$T$8,IF(AND($C43&lt;=Wirtschaftlichkeit!$T$8,$C43&gt;=Wirtschaftlichkeit!$T$8*Eingabemaske!$B$18),$C43,"0"))</f>
        <v>17.01126</v>
      </c>
      <c r="EH43" s="222">
        <v>2774</v>
      </c>
      <c r="EI43" s="224">
        <f t="shared" si="40"/>
        <v>1238.875335</v>
      </c>
      <c r="EJ43" s="222">
        <v>2774</v>
      </c>
      <c r="EK43" s="226">
        <f t="shared" si="41"/>
        <v>17.01126</v>
      </c>
      <c r="EL43" s="312">
        <v>2774</v>
      </c>
      <c r="EM43" s="286">
        <f>EG43*Wirtschaftlichkeit!$T$5/Wirtschaftlichkeit!$T$7</f>
        <v>8.078430286630276</v>
      </c>
      <c r="EN43" s="284">
        <f t="shared" si="42"/>
        <v>588.32608681680415</v>
      </c>
      <c r="EP43" s="222">
        <v>2774</v>
      </c>
      <c r="EQ43" s="225">
        <f>IF($C43&gt;=Wirtschaftlichkeit!$U$8,Wirtschaftlichkeit!$U$8,IF(AND($C43&lt;=Wirtschaftlichkeit!$U$8,$C43&gt;=Wirtschaftlichkeit!$U$8*Eingabemaske!$B$18),$C43,"0"))</f>
        <v>17.01126</v>
      </c>
      <c r="ER43" s="222">
        <v>2774</v>
      </c>
      <c r="ES43" s="224">
        <f t="shared" si="43"/>
        <v>1238.875335</v>
      </c>
      <c r="ET43" s="222">
        <v>2774</v>
      </c>
      <c r="EU43" s="226">
        <f t="shared" si="44"/>
        <v>17.01126</v>
      </c>
      <c r="EV43" s="312">
        <v>2774</v>
      </c>
      <c r="EW43" s="286">
        <f>EQ43*Wirtschaftlichkeit!$U$5/Wirtschaftlichkeit!$U$7</f>
        <v>8.1638568492859243</v>
      </c>
      <c r="EX43" s="284">
        <f t="shared" si="45"/>
        <v>594.54742852975869</v>
      </c>
      <c r="EZ43" s="222">
        <v>2774</v>
      </c>
      <c r="FA43" s="225">
        <f>IF($C43&gt;=Wirtschaftlichkeit!$V$8,Wirtschaftlichkeit!$V$8,IF(AND($C43&lt;=Wirtschaftlichkeit!$V$8,$C43&gt;=Wirtschaftlichkeit!$V$8*Eingabemaske!$B$18),$C43,"0"))</f>
        <v>17.01126</v>
      </c>
      <c r="FB43" s="222">
        <v>2774</v>
      </c>
      <c r="FC43" s="224">
        <f t="shared" si="46"/>
        <v>1238.875335</v>
      </c>
      <c r="FD43" s="222">
        <v>2774</v>
      </c>
      <c r="FE43" s="226">
        <f t="shared" si="47"/>
        <v>17.01126</v>
      </c>
      <c r="FF43" s="312">
        <v>2774</v>
      </c>
      <c r="FG43" s="286">
        <f>FA43*Wirtschaftlichkeit!$V$5/Wirtschaftlichkeit!$V$7</f>
        <v>8.244854276487807</v>
      </c>
      <c r="FH43" s="284">
        <f t="shared" si="48"/>
        <v>600.44621055759615</v>
      </c>
      <c r="FJ43" s="222">
        <v>2774</v>
      </c>
      <c r="FK43" s="225" t="str">
        <f>IF($C43&gt;=Wirtschaftlichkeit!$W$8,Wirtschaftlichkeit!$W$8,IF(AND($C43&lt;=Wirtschaftlichkeit!$W$8,$C43&gt;=Wirtschaftlichkeit!$W$8*Eingabemaske!$B$18),$C43,"0"))</f>
        <v>0</v>
      </c>
      <c r="FL43" s="222">
        <v>2774</v>
      </c>
      <c r="FM43" s="224">
        <f t="shared" si="49"/>
        <v>0</v>
      </c>
      <c r="FN43" s="222">
        <v>2774</v>
      </c>
      <c r="FO43" s="226" t="str">
        <f t="shared" si="50"/>
        <v xml:space="preserve"> </v>
      </c>
      <c r="FP43" s="312">
        <v>2774</v>
      </c>
      <c r="FQ43" s="286">
        <f>FK43*Wirtschaftlichkeit!$W$5/Wirtschaftlichkeit!$W$7</f>
        <v>0</v>
      </c>
      <c r="FR43" s="284">
        <f t="shared" si="51"/>
        <v>0</v>
      </c>
      <c r="FT43" s="222">
        <v>2774</v>
      </c>
      <c r="FU43" s="225" t="str">
        <f>IF($C43&gt;=Wirtschaftlichkeit!$X$8,Wirtschaftlichkeit!$X$8,IF(AND($C43&lt;=Wirtschaftlichkeit!$X$8,$C43&gt;=Wirtschaftlichkeit!$X$8*Eingabemaske!$B$18),$C43,"0"))</f>
        <v>0</v>
      </c>
      <c r="FV43" s="222">
        <v>2774</v>
      </c>
      <c r="FW43" s="224">
        <f t="shared" si="52"/>
        <v>0</v>
      </c>
      <c r="FX43" s="222">
        <v>2774</v>
      </c>
      <c r="FY43" s="226" t="str">
        <f t="shared" si="53"/>
        <v xml:space="preserve"> </v>
      </c>
      <c r="FZ43" s="312">
        <v>2774</v>
      </c>
      <c r="GA43" s="286">
        <f>FU43*Wirtschaftlichkeit!$X$5/Wirtschaftlichkeit!$X$7</f>
        <v>0</v>
      </c>
      <c r="GB43" s="284">
        <f t="shared" si="54"/>
        <v>0</v>
      </c>
      <c r="GD43" s="222">
        <v>2774</v>
      </c>
      <c r="GE43" s="225" t="str">
        <f>IF($C43&gt;=Wirtschaftlichkeit!$Y$8,Wirtschaftlichkeit!$Y$8,IF(AND($C43&lt;=Wirtschaftlichkeit!$Y$8,$C43&gt;=Wirtschaftlichkeit!$Y$8*Eingabemaske!$B$18),$C43,"0"))</f>
        <v>0</v>
      </c>
      <c r="GF43" s="222">
        <v>2774</v>
      </c>
      <c r="GG43" s="224">
        <f t="shared" si="55"/>
        <v>0</v>
      </c>
      <c r="GH43" s="222">
        <v>2774</v>
      </c>
      <c r="GI43" s="226" t="str">
        <f t="shared" si="56"/>
        <v xml:space="preserve"> </v>
      </c>
      <c r="GJ43" s="312">
        <v>2774</v>
      </c>
      <c r="GK43" s="286">
        <f>GE43*Wirtschaftlichkeit!$Y$5/Wirtschaftlichkeit!$Y$7</f>
        <v>0</v>
      </c>
      <c r="GL43" s="284">
        <f t="shared" si="57"/>
        <v>0</v>
      </c>
      <c r="GN43" s="222">
        <v>2774</v>
      </c>
      <c r="GO43" s="225" t="str">
        <f>IF($C43&gt;=Wirtschaftlichkeit!$Z$8,Wirtschaftlichkeit!$Z$8,IF(AND($C43&lt;=Wirtschaftlichkeit!$Z$8,$C43&gt;=Wirtschaftlichkeit!$Z$8*Eingabemaske!$B$18),$C43,"0"))</f>
        <v>0</v>
      </c>
      <c r="GP43" s="222">
        <v>2774</v>
      </c>
      <c r="GQ43" s="224">
        <f t="shared" si="58"/>
        <v>0</v>
      </c>
      <c r="GR43" s="222">
        <v>2774</v>
      </c>
      <c r="GS43" s="226" t="str">
        <f t="shared" si="59"/>
        <v xml:space="preserve"> </v>
      </c>
      <c r="GT43" s="312">
        <v>2774</v>
      </c>
      <c r="GU43" s="286">
        <f>GO43*Wirtschaftlichkeit!$Z$5/Wirtschaftlichkeit!$Z$7</f>
        <v>0</v>
      </c>
      <c r="GV43" s="284">
        <f t="shared" si="60"/>
        <v>0</v>
      </c>
      <c r="GW43" s="266"/>
      <c r="GX43" s="258">
        <v>2774</v>
      </c>
      <c r="GY43" s="270">
        <f>IF(Berechnung_Diagramme!$C$28=Berechnungen_Lastgang!$F$2,Berechnungen_Lastgang!G43,IF(Berechnung_Diagramme!$C$28=Berechnungen_Lastgang!$P$2,Berechnungen_Lastgang!Q43,IF(Berechnung_Diagramme!$C$28=Berechnungen_Lastgang!$Z$2,Berechnungen_Lastgang!AA43,IF(Berechnung_Diagramme!$C$28=Berechnungen_Lastgang!$AJ$2,Berechnungen_Lastgang!AK43,IF(Berechnung_Diagramme!$C$28=Berechnungen_Lastgang!$AT$2,Berechnungen_Lastgang!AU43,IF(Berechnung_Diagramme!$C$28=Berechnungen_Lastgang!$BD$2,Berechnungen_Lastgang!BE43,IF(Berechnung_Diagramme!$C$28=Berechnungen_Lastgang!$BN$2,Berechnungen_Lastgang!BO43,IF(Berechnung_Diagramme!$C$28=Berechnungen_Lastgang!$BX$2,Berechnungen_Lastgang!BY43,IF(Berechnung_Diagramme!$C$28=Berechnungen_Lastgang!$CH$2,Berechnungen_Lastgang!CI43,IF(Berechnung_Diagramme!$C$28=Berechnungen_Lastgang!$CR$2,Berechnungen_Lastgang!CS43,IF(Berechnung_Diagramme!$C$28=Berechnungen_Lastgang!$DB$2,Berechnungen_Lastgang!DC43,IF(Berechnung_Diagramme!$C$28=Berechnungen_Lastgang!$DL$2,Berechnungen_Lastgang!DM43,IF(Berechnung_Diagramme!$C$28=Berechnungen_Lastgang!$DV$2,Berechnungen_Lastgang!DW43,IF(Berechnung_Diagramme!$C$28=Berechnungen_Lastgang!$EF$2,Berechnungen_Lastgang!EG43,IF(Berechnung_Diagramme!$C$28=Berechnungen_Lastgang!$EP$2,Berechnungen_Lastgang!EQ43,IF(Berechnung_Diagramme!$C$28=Berechnungen_Lastgang!$EZ$2,Berechnungen_Lastgang!FA43,IF(Berechnung_Diagramme!$C$28=Berechnungen_Lastgang!$FJ$2,Berechnungen_Lastgang!FK43,IF(Berechnung_Diagramme!$C$28=Berechnungen_Lastgang!$FT$2,Berechnungen_Lastgang!FU43,IF(Berechnung_Diagramme!$C$28=Berechnungen_Lastgang!$GD$2,Berechnungen_Lastgang!GE43,IF(Berechnung_Diagramme!$C$28=Berechnungen_Lastgang!$GN$2,Berechnungen_Lastgang!GO43,""))))))))))))))))))))</f>
        <v>17.01126</v>
      </c>
    </row>
    <row r="44" spans="2:207" ht="14.45" x14ac:dyDescent="0.3">
      <c r="B44" s="64">
        <v>2847</v>
      </c>
      <c r="C44" s="67">
        <f>C43+((C45-C43)/(B45-B43))*(B44-B43)</f>
        <v>16.930529999999997</v>
      </c>
      <c r="D44" s="66">
        <f t="shared" si="61"/>
        <v>1232.9820449999997</v>
      </c>
      <c r="F44" s="64">
        <v>2847</v>
      </c>
      <c r="G44" s="225">
        <f>IF($C44&gt;=Wirtschaftlichkeit!$G$8,Wirtschaftlichkeit!$G$8,IF(AND($C44&lt;=Wirtschaftlichkeit!$G$8,$C44&gt;=Wirtschaftlichkeit!$G$8*Eingabemaske!$B$18),$C44,"0"))</f>
        <v>2.8333333333333335</v>
      </c>
      <c r="H44" s="64">
        <v>2847</v>
      </c>
      <c r="I44" s="66">
        <f t="shared" si="62"/>
        <v>206.83333333333334</v>
      </c>
      <c r="J44" s="64">
        <v>2847</v>
      </c>
      <c r="K44" s="71">
        <f t="shared" si="63"/>
        <v>2.8333333333333335</v>
      </c>
      <c r="L44" s="312">
        <v>2847</v>
      </c>
      <c r="M44" s="286">
        <f>G44*Wirtschaftlichkeit!$G$5/Wirtschaftlichkeit!$G$7</f>
        <v>1</v>
      </c>
      <c r="N44" s="284">
        <f t="shared" si="3"/>
        <v>73</v>
      </c>
      <c r="P44" s="222">
        <v>2847</v>
      </c>
      <c r="Q44" s="225">
        <f>IF($C44&gt;=Wirtschaftlichkeit!$H$8,Wirtschaftlichkeit!$H$8,IF(AND($C44&lt;=Wirtschaftlichkeit!$H$8,$C44&gt;=Wirtschaftlichkeit!$H$8*Eingabemaske!$B$18),$C44,"0"))</f>
        <v>5.5876288659793811</v>
      </c>
      <c r="R44" s="222">
        <v>2847</v>
      </c>
      <c r="S44" s="224">
        <f t="shared" si="4"/>
        <v>407.89690721649481</v>
      </c>
      <c r="T44" s="222">
        <v>2847</v>
      </c>
      <c r="U44" s="226">
        <f t="shared" si="5"/>
        <v>5.5876288659793811</v>
      </c>
      <c r="V44" s="312">
        <v>2847</v>
      </c>
      <c r="W44" s="286">
        <f>Q44*Wirtschaftlichkeit!$H$5/Wirtschaftlichkeit!$H$7</f>
        <v>2</v>
      </c>
      <c r="X44" s="284">
        <f t="shared" si="6"/>
        <v>146</v>
      </c>
      <c r="Z44" s="222">
        <v>2847</v>
      </c>
      <c r="AA44" s="225">
        <f>IF($C44&gt;=Wirtschaftlichkeit!$I$8,Wirtschaftlichkeit!$I$8,IF(AND($C44&lt;=Wirtschaftlichkeit!$I$8,$C44&gt;=Wirtschaftlichkeit!$I$8*Eingabemaske!$B$18),$C44,"0"))</f>
        <v>8.2471643149712612</v>
      </c>
      <c r="AB44" s="222">
        <v>2847</v>
      </c>
      <c r="AC44" s="224">
        <f t="shared" si="7"/>
        <v>602.04299499290209</v>
      </c>
      <c r="AD44" s="222">
        <v>2847</v>
      </c>
      <c r="AE44" s="226">
        <f t="shared" si="8"/>
        <v>8.2471643149712612</v>
      </c>
      <c r="AF44" s="312">
        <v>2847</v>
      </c>
      <c r="AG44" s="286">
        <f>AA44*Wirtschaftlichkeit!$I$5/Wirtschaftlichkeit!$I$7</f>
        <v>3.0000000000000004</v>
      </c>
      <c r="AH44" s="284">
        <f t="shared" si="9"/>
        <v>219.00000000000003</v>
      </c>
      <c r="AJ44" s="222">
        <v>2847</v>
      </c>
      <c r="AK44" s="225">
        <f>IF($C44&gt;=Wirtschaftlichkeit!$J$8,Wirtschaftlichkeit!$J$8,IF(AND($C44&lt;=Wirtschaftlichkeit!$J$8,$C44&gt;=Wirtschaftlichkeit!$J$8*Eingabemaske!$B$18),$C44,"0"))</f>
        <v>10.537455322965799</v>
      </c>
      <c r="AL44" s="222">
        <v>2847</v>
      </c>
      <c r="AM44" s="224">
        <f t="shared" si="10"/>
        <v>769.23423857650334</v>
      </c>
      <c r="AN44" s="222">
        <v>2847</v>
      </c>
      <c r="AO44" s="226">
        <f t="shared" si="11"/>
        <v>10.537455322965799</v>
      </c>
      <c r="AP44" s="312">
        <v>2847</v>
      </c>
      <c r="AQ44" s="286">
        <f>AK44*Wirtschaftlichkeit!$J$5/Wirtschaftlichkeit!$J$7</f>
        <v>4</v>
      </c>
      <c r="AR44" s="284">
        <f t="shared" si="12"/>
        <v>292</v>
      </c>
      <c r="AT44" s="222">
        <v>2847</v>
      </c>
      <c r="AU44" s="225">
        <f>IF($C44&gt;=Wirtschaftlichkeit!$K$8,Wirtschaftlichkeit!$K$8,IF(AND($C44&lt;=Wirtschaftlichkeit!$K$8,$C44&gt;=Wirtschaftlichkeit!$K$8*Eingabemaske!$B$18),$C44,"0"))</f>
        <v>12.739122166763016</v>
      </c>
      <c r="AV44" s="222">
        <v>2847</v>
      </c>
      <c r="AW44" s="224">
        <f t="shared" si="13"/>
        <v>929.95591817370018</v>
      </c>
      <c r="AX44" s="222">
        <v>2847</v>
      </c>
      <c r="AY44" s="226">
        <f t="shared" si="14"/>
        <v>12.739122166763016</v>
      </c>
      <c r="AZ44" s="312">
        <v>2847</v>
      </c>
      <c r="BA44" s="286">
        <f>AU44*Wirtschaftlichkeit!$K$5/Wirtschaftlichkeit!$K$7</f>
        <v>5</v>
      </c>
      <c r="BB44" s="284">
        <f t="shared" si="15"/>
        <v>365</v>
      </c>
      <c r="BD44" s="222">
        <v>2847</v>
      </c>
      <c r="BE44" s="225">
        <f>IF($C44&gt;=Wirtschaftlichkeit!$L$8,Wirtschaftlichkeit!$L$8,IF(AND($C44&lt;=Wirtschaftlichkeit!$L$8,$C44&gt;=Wirtschaftlichkeit!$L$8*Eingabemaske!$B$18),$C44,"0"))</f>
        <v>14.87189090675227</v>
      </c>
      <c r="BF44" s="222">
        <v>2847</v>
      </c>
      <c r="BG44" s="224">
        <f t="shared" si="16"/>
        <v>1085.6480361929157</v>
      </c>
      <c r="BH44" s="222">
        <v>2847</v>
      </c>
      <c r="BI44" s="226">
        <f t="shared" si="17"/>
        <v>14.87189090675227</v>
      </c>
      <c r="BJ44" s="312">
        <v>2847</v>
      </c>
      <c r="BK44" s="286">
        <f>BE44*Wirtschaftlichkeit!$L$5/Wirtschaftlichkeit!$L$7</f>
        <v>6</v>
      </c>
      <c r="BL44" s="284">
        <f t="shared" si="18"/>
        <v>438</v>
      </c>
      <c r="BN44" s="222">
        <v>2847</v>
      </c>
      <c r="BO44" s="225">
        <f>IF($C44&gt;=Wirtschaftlichkeit!$M$8,Wirtschaftlichkeit!$M$8,IF(AND($C44&lt;=Wirtschaftlichkeit!$M$8,$C44&gt;=Wirtschaftlichkeit!$M$8*Eingabemaske!$B$18),$C44,"0"))</f>
        <v>16.930529999999997</v>
      </c>
      <c r="BP44" s="222">
        <v>2847</v>
      </c>
      <c r="BQ44" s="224">
        <f t="shared" si="19"/>
        <v>1232.9820449999997</v>
      </c>
      <c r="BR44" s="222">
        <v>2847</v>
      </c>
      <c r="BS44" s="226">
        <f t="shared" si="20"/>
        <v>16.930529999999997</v>
      </c>
      <c r="BT44" s="312">
        <v>2847</v>
      </c>
      <c r="BU44" s="286">
        <f>BO44*Wirtschaftlichkeit!$M$5/Wirtschaftlichkeit!$M$7</f>
        <v>6.9925777481959059</v>
      </c>
      <c r="BV44" s="284">
        <f t="shared" si="21"/>
        <v>509.24116444033842</v>
      </c>
      <c r="BX44" s="222">
        <v>2847</v>
      </c>
      <c r="BY44" s="225">
        <f>IF($C44&gt;=Wirtschaftlichkeit!$N$8,Wirtschaftlichkeit!$N$8,IF(AND($C44&lt;=Wirtschaftlichkeit!$N$8,$C44&gt;=Wirtschaftlichkeit!$N$8*Eingabemaske!$B$18),$C44,"0"))</f>
        <v>16.930529999999997</v>
      </c>
      <c r="BZ44" s="222">
        <v>2847</v>
      </c>
      <c r="CA44" s="224">
        <f t="shared" si="22"/>
        <v>1232.9820449999997</v>
      </c>
      <c r="CB44" s="222">
        <v>2847</v>
      </c>
      <c r="CC44" s="226">
        <f t="shared" si="23"/>
        <v>16.930529999999997</v>
      </c>
      <c r="CD44" s="312">
        <v>2847</v>
      </c>
      <c r="CE44" s="286">
        <f>BY44*Wirtschaftlichkeit!$N$5/Wirtschaftlichkeit!$N$7</f>
        <v>7.136968763705573</v>
      </c>
      <c r="CF44" s="284">
        <f t="shared" si="24"/>
        <v>519.75657828637497</v>
      </c>
      <c r="CH44" s="222">
        <v>2847</v>
      </c>
      <c r="CI44" s="225">
        <f>IF($C44&gt;=Wirtschaftlichkeit!$O$8,Wirtschaftlichkeit!$O$8,IF(AND($C44&lt;=Wirtschaftlichkeit!$O$8,$C44&gt;=Wirtschaftlichkeit!$O$8*Eingabemaske!$B$18),$C44,"0"))</f>
        <v>16.930529999999997</v>
      </c>
      <c r="CJ44" s="222">
        <v>2847</v>
      </c>
      <c r="CK44" s="224">
        <f t="shared" si="25"/>
        <v>1232.9820449999997</v>
      </c>
      <c r="CL44" s="222">
        <v>2847</v>
      </c>
      <c r="CM44" s="226">
        <f t="shared" si="26"/>
        <v>16.930529999999997</v>
      </c>
      <c r="CN44" s="312">
        <v>2847</v>
      </c>
      <c r="CO44" s="286">
        <f>CI44*Wirtschaftlichkeit!$O$5/Wirtschaftlichkeit!$O$7</f>
        <v>7.2675545460413558</v>
      </c>
      <c r="CP44" s="284">
        <f t="shared" si="27"/>
        <v>529.26661281880229</v>
      </c>
      <c r="CR44" s="222">
        <v>2847</v>
      </c>
      <c r="CS44" s="225">
        <f>IF($C44&gt;=Wirtschaftlichkeit!$P$8,Wirtschaftlichkeit!$P$8,IF(AND($C44&lt;=Wirtschaftlichkeit!$P$8,$C44&gt;=Wirtschaftlichkeit!$P$8*Eingabemaske!$B$18),$C44,"0"))</f>
        <v>16.930529999999997</v>
      </c>
      <c r="CT44" s="222">
        <v>2847</v>
      </c>
      <c r="CU44" s="224">
        <f t="shared" si="28"/>
        <v>1232.9820449999997</v>
      </c>
      <c r="CV44" s="222">
        <v>2847</v>
      </c>
      <c r="CW44" s="226">
        <f t="shared" si="29"/>
        <v>16.930529999999997</v>
      </c>
      <c r="CX44" s="312">
        <v>2847</v>
      </c>
      <c r="CY44" s="286">
        <f>CS44*Wirtschaftlichkeit!$P$5/Wirtschaftlichkeit!$P$7</f>
        <v>7.3870117394115269</v>
      </c>
      <c r="CZ44" s="284">
        <f t="shared" si="30"/>
        <v>537.966197212883</v>
      </c>
      <c r="DB44" s="222">
        <v>2847</v>
      </c>
      <c r="DC44" s="225">
        <f>IF($C44&gt;=Wirtschaftlichkeit!$Q$8,Wirtschaftlichkeit!$Q$8,IF(AND($C44&lt;=Wirtschaftlichkeit!$Q$8,$C44&gt;=Wirtschaftlichkeit!$Q$8*Eingabemaske!$B$18),$C44,"0"))</f>
        <v>16.930529999999997</v>
      </c>
      <c r="DD44" s="222">
        <v>2847</v>
      </c>
      <c r="DE44" s="224">
        <f t="shared" si="31"/>
        <v>1232.9820449999997</v>
      </c>
      <c r="DF44" s="222">
        <v>2847</v>
      </c>
      <c r="DG44" s="226">
        <f t="shared" si="32"/>
        <v>16.930529999999997</v>
      </c>
      <c r="DH44" s="312">
        <v>2847</v>
      </c>
      <c r="DI44" s="286">
        <f>DC44*Wirtschaftlichkeit!$Q$5/Wirtschaftlichkeit!$Q$7</f>
        <v>7.7519714423377231</v>
      </c>
      <c r="DJ44" s="284">
        <f t="shared" si="33"/>
        <v>564.54473674215546</v>
      </c>
      <c r="DL44" s="222">
        <v>2847</v>
      </c>
      <c r="DM44" s="225">
        <f>IF($C44&gt;=Wirtschaftlichkeit!$R$8,Wirtschaftlichkeit!$R$8,IF(AND($C44&lt;=Wirtschaftlichkeit!$R$8,$C44&gt;=Wirtschaftlichkeit!$R$8*Eingabemaske!$B$18),$C44,"0"))</f>
        <v>16.930529999999997</v>
      </c>
      <c r="DN44" s="222">
        <v>2847</v>
      </c>
      <c r="DO44" s="224">
        <f t="shared" si="34"/>
        <v>1232.9820449999997</v>
      </c>
      <c r="DP44" s="222">
        <v>2847</v>
      </c>
      <c r="DQ44" s="226">
        <f t="shared" si="35"/>
        <v>16.930529999999997</v>
      </c>
      <c r="DR44" s="312">
        <v>2847</v>
      </c>
      <c r="DS44" s="286">
        <f>DM44*Wirtschaftlichkeit!$R$5/Wirtschaftlichkeit!$R$7</f>
        <v>7.854332605899625</v>
      </c>
      <c r="DT44" s="284">
        <f t="shared" si="36"/>
        <v>571.99928640936218</v>
      </c>
      <c r="DV44" s="222">
        <v>2847</v>
      </c>
      <c r="DW44" s="225">
        <f>IF($C44&gt;=Wirtschaftlichkeit!$S$8,Wirtschaftlichkeit!$S$8,IF(AND($C44&lt;=Wirtschaftlichkeit!$S$8,$C44&gt;=Wirtschaftlichkeit!$S$8*Eingabemaske!$B$18),$C44,"0"))</f>
        <v>16.930529999999997</v>
      </c>
      <c r="DX44" s="222">
        <v>2847</v>
      </c>
      <c r="DY44" s="224">
        <f t="shared" si="37"/>
        <v>1232.9820449999997</v>
      </c>
      <c r="DZ44" s="222">
        <v>2847</v>
      </c>
      <c r="EA44" s="226">
        <f t="shared" si="38"/>
        <v>16.930529999999997</v>
      </c>
      <c r="EB44" s="312">
        <v>2847</v>
      </c>
      <c r="EC44" s="286">
        <f>DW44*Wirtschaftlichkeit!$S$5/Wirtschaftlichkeit!$S$7</f>
        <v>7.9500731888998724</v>
      </c>
      <c r="ED44" s="284">
        <f t="shared" si="39"/>
        <v>578.97168596313509</v>
      </c>
      <c r="EF44" s="222">
        <v>2847</v>
      </c>
      <c r="EG44" s="225">
        <f>IF($C44&gt;=Wirtschaftlichkeit!$T$8,Wirtschaftlichkeit!$T$8,IF(AND($C44&lt;=Wirtschaftlichkeit!$T$8,$C44&gt;=Wirtschaftlichkeit!$T$8*Eingabemaske!$B$18),$C44,"0"))</f>
        <v>16.930529999999997</v>
      </c>
      <c r="EH44" s="222">
        <v>2847</v>
      </c>
      <c r="EI44" s="224">
        <f t="shared" si="40"/>
        <v>1232.9820449999997</v>
      </c>
      <c r="EJ44" s="222">
        <v>2847</v>
      </c>
      <c r="EK44" s="226">
        <f t="shared" si="41"/>
        <v>16.930529999999997</v>
      </c>
      <c r="EL44" s="312">
        <v>2847</v>
      </c>
      <c r="EM44" s="286">
        <f>EG44*Wirtschaftlichkeit!$T$5/Wirtschaftlichkeit!$T$7</f>
        <v>8.0400926398575105</v>
      </c>
      <c r="EN44" s="284">
        <f t="shared" si="42"/>
        <v>585.52743860239241</v>
      </c>
      <c r="EP44" s="222">
        <v>2847</v>
      </c>
      <c r="EQ44" s="225">
        <f>IF($C44&gt;=Wirtschaftlichkeit!$U$8,Wirtschaftlichkeit!$U$8,IF(AND($C44&lt;=Wirtschaftlichkeit!$U$8,$C44&gt;=Wirtschaftlichkeit!$U$8*Eingabemaske!$B$18),$C44,"0"))</f>
        <v>16.930529999999997</v>
      </c>
      <c r="ER44" s="222">
        <v>2847</v>
      </c>
      <c r="ES44" s="224">
        <f t="shared" si="43"/>
        <v>1232.9820449999997</v>
      </c>
      <c r="ET44" s="222">
        <v>2847</v>
      </c>
      <c r="EU44" s="226">
        <f t="shared" si="44"/>
        <v>16.930529999999997</v>
      </c>
      <c r="EV44" s="312">
        <v>2847</v>
      </c>
      <c r="EW44" s="286">
        <f>EQ44*Wirtschaftlichkeit!$U$5/Wirtschaftlichkeit!$U$7</f>
        <v>8.1251137953649994</v>
      </c>
      <c r="EX44" s="284">
        <f t="shared" si="45"/>
        <v>591.71918559353117</v>
      </c>
      <c r="EZ44" s="222">
        <v>2847</v>
      </c>
      <c r="FA44" s="225">
        <f>IF($C44&gt;=Wirtschaftlichkeit!$V$8,Wirtschaftlichkeit!$V$8,IF(AND($C44&lt;=Wirtschaftlichkeit!$V$8,$C44&gt;=Wirtschaftlichkeit!$V$8*Eingabemaske!$B$18),$C44,"0"))</f>
        <v>16.930529999999997</v>
      </c>
      <c r="FB44" s="222">
        <v>2847</v>
      </c>
      <c r="FC44" s="224">
        <f t="shared" si="46"/>
        <v>1232.9820449999997</v>
      </c>
      <c r="FD44" s="222">
        <v>2847</v>
      </c>
      <c r="FE44" s="226">
        <f t="shared" si="47"/>
        <v>16.930529999999997</v>
      </c>
      <c r="FF44" s="312">
        <v>2847</v>
      </c>
      <c r="FG44" s="286">
        <f>FA44*Wirtschaftlichkeit!$V$5/Wirtschaftlichkeit!$V$7</f>
        <v>8.2057268346792114</v>
      </c>
      <c r="FH44" s="284">
        <f t="shared" si="48"/>
        <v>597.58990730556866</v>
      </c>
      <c r="FJ44" s="222">
        <v>2847</v>
      </c>
      <c r="FK44" s="225" t="str">
        <f>IF($C44&gt;=Wirtschaftlichkeit!$W$8,Wirtschaftlichkeit!$W$8,IF(AND($C44&lt;=Wirtschaftlichkeit!$W$8,$C44&gt;=Wirtschaftlichkeit!$W$8*Eingabemaske!$B$18),$C44,"0"))</f>
        <v>0</v>
      </c>
      <c r="FL44" s="222">
        <v>2847</v>
      </c>
      <c r="FM44" s="224">
        <f t="shared" si="49"/>
        <v>0</v>
      </c>
      <c r="FN44" s="222">
        <v>2847</v>
      </c>
      <c r="FO44" s="226" t="str">
        <f t="shared" si="50"/>
        <v xml:space="preserve"> </v>
      </c>
      <c r="FP44" s="312">
        <v>2847</v>
      </c>
      <c r="FQ44" s="286">
        <f>FK44*Wirtschaftlichkeit!$W$5/Wirtschaftlichkeit!$W$7</f>
        <v>0</v>
      </c>
      <c r="FR44" s="284">
        <f t="shared" si="51"/>
        <v>0</v>
      </c>
      <c r="FT44" s="222">
        <v>2847</v>
      </c>
      <c r="FU44" s="225" t="str">
        <f>IF($C44&gt;=Wirtschaftlichkeit!$X$8,Wirtschaftlichkeit!$X$8,IF(AND($C44&lt;=Wirtschaftlichkeit!$X$8,$C44&gt;=Wirtschaftlichkeit!$X$8*Eingabemaske!$B$18),$C44,"0"))</f>
        <v>0</v>
      </c>
      <c r="FV44" s="222">
        <v>2847</v>
      </c>
      <c r="FW44" s="224">
        <f t="shared" si="52"/>
        <v>0</v>
      </c>
      <c r="FX44" s="222">
        <v>2847</v>
      </c>
      <c r="FY44" s="226" t="str">
        <f t="shared" si="53"/>
        <v xml:space="preserve"> </v>
      </c>
      <c r="FZ44" s="312">
        <v>2847</v>
      </c>
      <c r="GA44" s="286">
        <f>FU44*Wirtschaftlichkeit!$X$5/Wirtschaftlichkeit!$X$7</f>
        <v>0</v>
      </c>
      <c r="GB44" s="284">
        <f t="shared" si="54"/>
        <v>0</v>
      </c>
      <c r="GD44" s="222">
        <v>2847</v>
      </c>
      <c r="GE44" s="225" t="str">
        <f>IF($C44&gt;=Wirtschaftlichkeit!$Y$8,Wirtschaftlichkeit!$Y$8,IF(AND($C44&lt;=Wirtschaftlichkeit!$Y$8,$C44&gt;=Wirtschaftlichkeit!$Y$8*Eingabemaske!$B$18),$C44,"0"))</f>
        <v>0</v>
      </c>
      <c r="GF44" s="222">
        <v>2847</v>
      </c>
      <c r="GG44" s="224">
        <f t="shared" si="55"/>
        <v>0</v>
      </c>
      <c r="GH44" s="222">
        <v>2847</v>
      </c>
      <c r="GI44" s="226" t="str">
        <f t="shared" si="56"/>
        <v xml:space="preserve"> </v>
      </c>
      <c r="GJ44" s="312">
        <v>2847</v>
      </c>
      <c r="GK44" s="286">
        <f>GE44*Wirtschaftlichkeit!$Y$5/Wirtschaftlichkeit!$Y$7</f>
        <v>0</v>
      </c>
      <c r="GL44" s="284">
        <f t="shared" si="57"/>
        <v>0</v>
      </c>
      <c r="GN44" s="222">
        <v>2847</v>
      </c>
      <c r="GO44" s="225" t="str">
        <f>IF($C44&gt;=Wirtschaftlichkeit!$Z$8,Wirtschaftlichkeit!$Z$8,IF(AND($C44&lt;=Wirtschaftlichkeit!$Z$8,$C44&gt;=Wirtschaftlichkeit!$Z$8*Eingabemaske!$B$18),$C44,"0"))</f>
        <v>0</v>
      </c>
      <c r="GP44" s="222">
        <v>2847</v>
      </c>
      <c r="GQ44" s="224">
        <f t="shared" si="58"/>
        <v>0</v>
      </c>
      <c r="GR44" s="222">
        <v>2847</v>
      </c>
      <c r="GS44" s="226" t="str">
        <f t="shared" si="59"/>
        <v xml:space="preserve"> </v>
      </c>
      <c r="GT44" s="312">
        <v>2847</v>
      </c>
      <c r="GU44" s="286">
        <f>GO44*Wirtschaftlichkeit!$Z$5/Wirtschaftlichkeit!$Z$7</f>
        <v>0</v>
      </c>
      <c r="GV44" s="284">
        <f t="shared" si="60"/>
        <v>0</v>
      </c>
      <c r="GW44" s="266"/>
      <c r="GX44" s="258">
        <v>2847</v>
      </c>
      <c r="GY44" s="270">
        <f>IF(Berechnung_Diagramme!$C$28=Berechnungen_Lastgang!$F$2,Berechnungen_Lastgang!G44,IF(Berechnung_Diagramme!$C$28=Berechnungen_Lastgang!$P$2,Berechnungen_Lastgang!Q44,IF(Berechnung_Diagramme!$C$28=Berechnungen_Lastgang!$Z$2,Berechnungen_Lastgang!AA44,IF(Berechnung_Diagramme!$C$28=Berechnungen_Lastgang!$AJ$2,Berechnungen_Lastgang!AK44,IF(Berechnung_Diagramme!$C$28=Berechnungen_Lastgang!$AT$2,Berechnungen_Lastgang!AU44,IF(Berechnung_Diagramme!$C$28=Berechnungen_Lastgang!$BD$2,Berechnungen_Lastgang!BE44,IF(Berechnung_Diagramme!$C$28=Berechnungen_Lastgang!$BN$2,Berechnungen_Lastgang!BO44,IF(Berechnung_Diagramme!$C$28=Berechnungen_Lastgang!$BX$2,Berechnungen_Lastgang!BY44,IF(Berechnung_Diagramme!$C$28=Berechnungen_Lastgang!$CH$2,Berechnungen_Lastgang!CI44,IF(Berechnung_Diagramme!$C$28=Berechnungen_Lastgang!$CR$2,Berechnungen_Lastgang!CS44,IF(Berechnung_Diagramme!$C$28=Berechnungen_Lastgang!$DB$2,Berechnungen_Lastgang!DC44,IF(Berechnung_Diagramme!$C$28=Berechnungen_Lastgang!$DL$2,Berechnungen_Lastgang!DM44,IF(Berechnung_Diagramme!$C$28=Berechnungen_Lastgang!$DV$2,Berechnungen_Lastgang!DW44,IF(Berechnung_Diagramme!$C$28=Berechnungen_Lastgang!$EF$2,Berechnungen_Lastgang!EG44,IF(Berechnung_Diagramme!$C$28=Berechnungen_Lastgang!$EP$2,Berechnungen_Lastgang!EQ44,IF(Berechnung_Diagramme!$C$28=Berechnungen_Lastgang!$EZ$2,Berechnungen_Lastgang!FA44,IF(Berechnung_Diagramme!$C$28=Berechnungen_Lastgang!$FJ$2,Berechnungen_Lastgang!FK44,IF(Berechnung_Diagramme!$C$28=Berechnungen_Lastgang!$FT$2,Berechnungen_Lastgang!FU44,IF(Berechnung_Diagramme!$C$28=Berechnungen_Lastgang!$GD$2,Berechnungen_Lastgang!GE44,IF(Berechnung_Diagramme!$C$28=Berechnungen_Lastgang!$GN$2,Berechnungen_Lastgang!GO44,""))))))))))))))))))))</f>
        <v>16.930529999999997</v>
      </c>
    </row>
    <row r="45" spans="2:207" ht="14.45" x14ac:dyDescent="0.3">
      <c r="B45" s="64">
        <v>2920</v>
      </c>
      <c r="C45" s="67">
        <f>LARGE(Berechnung_Diagramme!$AB$5:$AB$16,5)</f>
        <v>16.849799999999998</v>
      </c>
      <c r="D45" s="66">
        <f t="shared" si="61"/>
        <v>1213.0355249999998</v>
      </c>
      <c r="F45" s="64">
        <v>2920</v>
      </c>
      <c r="G45" s="225">
        <f>IF($C45&gt;=Wirtschaftlichkeit!$G$8,Wirtschaftlichkeit!$G$8,IF(AND($C45&lt;=Wirtschaftlichkeit!$G$8,$C45&gt;=Wirtschaftlichkeit!$G$8*Eingabemaske!$B$18),$C45,"0"))</f>
        <v>2.8333333333333335</v>
      </c>
      <c r="H45" s="64">
        <v>2920</v>
      </c>
      <c r="I45" s="66">
        <f t="shared" si="62"/>
        <v>206.83333333333334</v>
      </c>
      <c r="J45" s="64">
        <v>2920</v>
      </c>
      <c r="K45" s="71">
        <f t="shared" si="63"/>
        <v>2.8333333333333335</v>
      </c>
      <c r="L45" s="312">
        <v>2920</v>
      </c>
      <c r="M45" s="286">
        <f>G45*Wirtschaftlichkeit!$G$5/Wirtschaftlichkeit!$G$7</f>
        <v>1</v>
      </c>
      <c r="N45" s="284">
        <f t="shared" si="3"/>
        <v>73</v>
      </c>
      <c r="P45" s="222">
        <v>2920</v>
      </c>
      <c r="Q45" s="225">
        <f>IF($C45&gt;=Wirtschaftlichkeit!$H$8,Wirtschaftlichkeit!$H$8,IF(AND($C45&lt;=Wirtschaftlichkeit!$H$8,$C45&gt;=Wirtschaftlichkeit!$H$8*Eingabemaske!$B$18),$C45,"0"))</f>
        <v>5.5876288659793811</v>
      </c>
      <c r="R45" s="222">
        <v>2920</v>
      </c>
      <c r="S45" s="224">
        <f t="shared" si="4"/>
        <v>407.89690721649481</v>
      </c>
      <c r="T45" s="222">
        <v>2920</v>
      </c>
      <c r="U45" s="226">
        <f t="shared" si="5"/>
        <v>5.5876288659793811</v>
      </c>
      <c r="V45" s="312">
        <v>2920</v>
      </c>
      <c r="W45" s="286">
        <f>Q45*Wirtschaftlichkeit!$H$5/Wirtschaftlichkeit!$H$7</f>
        <v>2</v>
      </c>
      <c r="X45" s="284">
        <f t="shared" si="6"/>
        <v>146</v>
      </c>
      <c r="Z45" s="222">
        <v>2920</v>
      </c>
      <c r="AA45" s="225">
        <f>IF($C45&gt;=Wirtschaftlichkeit!$I$8,Wirtschaftlichkeit!$I$8,IF(AND($C45&lt;=Wirtschaftlichkeit!$I$8,$C45&gt;=Wirtschaftlichkeit!$I$8*Eingabemaske!$B$18),$C45,"0"))</f>
        <v>8.2471643149712612</v>
      </c>
      <c r="AB45" s="222">
        <v>2920</v>
      </c>
      <c r="AC45" s="224">
        <f t="shared" si="7"/>
        <v>602.04299499290209</v>
      </c>
      <c r="AD45" s="222">
        <v>2920</v>
      </c>
      <c r="AE45" s="226">
        <f t="shared" si="8"/>
        <v>8.2471643149712612</v>
      </c>
      <c r="AF45" s="312">
        <v>2920</v>
      </c>
      <c r="AG45" s="286">
        <f>AA45*Wirtschaftlichkeit!$I$5/Wirtschaftlichkeit!$I$7</f>
        <v>3.0000000000000004</v>
      </c>
      <c r="AH45" s="284">
        <f t="shared" si="9"/>
        <v>219.00000000000003</v>
      </c>
      <c r="AJ45" s="222">
        <v>2920</v>
      </c>
      <c r="AK45" s="225">
        <f>IF($C45&gt;=Wirtschaftlichkeit!$J$8,Wirtschaftlichkeit!$J$8,IF(AND($C45&lt;=Wirtschaftlichkeit!$J$8,$C45&gt;=Wirtschaftlichkeit!$J$8*Eingabemaske!$B$18),$C45,"0"))</f>
        <v>10.537455322965799</v>
      </c>
      <c r="AL45" s="222">
        <v>2920</v>
      </c>
      <c r="AM45" s="224">
        <f t="shared" si="10"/>
        <v>769.23423857650334</v>
      </c>
      <c r="AN45" s="222">
        <v>2920</v>
      </c>
      <c r="AO45" s="226">
        <f t="shared" si="11"/>
        <v>10.537455322965799</v>
      </c>
      <c r="AP45" s="312">
        <v>2920</v>
      </c>
      <c r="AQ45" s="286">
        <f>AK45*Wirtschaftlichkeit!$J$5/Wirtschaftlichkeit!$J$7</f>
        <v>4</v>
      </c>
      <c r="AR45" s="284">
        <f t="shared" si="12"/>
        <v>292</v>
      </c>
      <c r="AT45" s="222">
        <v>2920</v>
      </c>
      <c r="AU45" s="225">
        <f>IF($C45&gt;=Wirtschaftlichkeit!$K$8,Wirtschaftlichkeit!$K$8,IF(AND($C45&lt;=Wirtschaftlichkeit!$K$8,$C45&gt;=Wirtschaftlichkeit!$K$8*Eingabemaske!$B$18),$C45,"0"))</f>
        <v>12.739122166763016</v>
      </c>
      <c r="AV45" s="222">
        <v>2920</v>
      </c>
      <c r="AW45" s="224">
        <f t="shared" si="13"/>
        <v>929.95591817370018</v>
      </c>
      <c r="AX45" s="222">
        <v>2920</v>
      </c>
      <c r="AY45" s="226">
        <f t="shared" si="14"/>
        <v>12.739122166763016</v>
      </c>
      <c r="AZ45" s="312">
        <v>2920</v>
      </c>
      <c r="BA45" s="286">
        <f>AU45*Wirtschaftlichkeit!$K$5/Wirtschaftlichkeit!$K$7</f>
        <v>5</v>
      </c>
      <c r="BB45" s="284">
        <f t="shared" si="15"/>
        <v>365</v>
      </c>
      <c r="BD45" s="222">
        <v>2920</v>
      </c>
      <c r="BE45" s="225">
        <f>IF($C45&gt;=Wirtschaftlichkeit!$L$8,Wirtschaftlichkeit!$L$8,IF(AND($C45&lt;=Wirtschaftlichkeit!$L$8,$C45&gt;=Wirtschaftlichkeit!$L$8*Eingabemaske!$B$18),$C45,"0"))</f>
        <v>14.87189090675227</v>
      </c>
      <c r="BF45" s="222">
        <v>2920</v>
      </c>
      <c r="BG45" s="224">
        <f t="shared" si="16"/>
        <v>1085.6480361929157</v>
      </c>
      <c r="BH45" s="222">
        <v>2920</v>
      </c>
      <c r="BI45" s="226">
        <f t="shared" si="17"/>
        <v>14.87189090675227</v>
      </c>
      <c r="BJ45" s="312">
        <v>2920</v>
      </c>
      <c r="BK45" s="286">
        <f>BE45*Wirtschaftlichkeit!$L$5/Wirtschaftlichkeit!$L$7</f>
        <v>6</v>
      </c>
      <c r="BL45" s="284">
        <f t="shared" si="18"/>
        <v>438</v>
      </c>
      <c r="BN45" s="222">
        <v>2920</v>
      </c>
      <c r="BO45" s="225">
        <f>IF($C45&gt;=Wirtschaftlichkeit!$M$8,Wirtschaftlichkeit!$M$8,IF(AND($C45&lt;=Wirtschaftlichkeit!$M$8,$C45&gt;=Wirtschaftlichkeit!$M$8*Eingabemaske!$B$18),$C45,"0"))</f>
        <v>16.849799999999998</v>
      </c>
      <c r="BP45" s="222">
        <v>2920</v>
      </c>
      <c r="BQ45" s="224">
        <f t="shared" si="19"/>
        <v>1213.0355249999998</v>
      </c>
      <c r="BR45" s="222">
        <v>2920</v>
      </c>
      <c r="BS45" s="226">
        <f t="shared" si="20"/>
        <v>16.849799999999998</v>
      </c>
      <c r="BT45" s="312">
        <v>2920</v>
      </c>
      <c r="BU45" s="286">
        <f>BO45*Wirtschaftlichkeit!$M$5/Wirtschaftlichkeit!$M$7</f>
        <v>6.959234976196929</v>
      </c>
      <c r="BV45" s="284">
        <f t="shared" si="21"/>
        <v>501.00293492797567</v>
      </c>
      <c r="BX45" s="222">
        <v>2920</v>
      </c>
      <c r="BY45" s="225">
        <f>IF($C45&gt;=Wirtschaftlichkeit!$N$8,Wirtschaftlichkeit!$N$8,IF(AND($C45&lt;=Wirtschaftlichkeit!$N$8,$C45&gt;=Wirtschaftlichkeit!$N$8*Eingabemaske!$B$18),$C45,"0"))</f>
        <v>16.849799999999998</v>
      </c>
      <c r="BZ45" s="222">
        <v>2920</v>
      </c>
      <c r="CA45" s="224">
        <f t="shared" si="22"/>
        <v>1213.0355249999998</v>
      </c>
      <c r="CB45" s="222">
        <v>2920</v>
      </c>
      <c r="CC45" s="226">
        <f t="shared" si="23"/>
        <v>16.849799999999998</v>
      </c>
      <c r="CD45" s="312">
        <v>2920</v>
      </c>
      <c r="CE45" s="286">
        <f>BY45*Wirtschaftlichkeit!$N$5/Wirtschaftlichkeit!$N$7</f>
        <v>7.1029374907156582</v>
      </c>
      <c r="CF45" s="284">
        <f t="shared" si="24"/>
        <v>511.34823606763587</v>
      </c>
      <c r="CH45" s="222">
        <v>2920</v>
      </c>
      <c r="CI45" s="225">
        <f>IF($C45&gt;=Wirtschaftlichkeit!$O$8,Wirtschaftlichkeit!$O$8,IF(AND($C45&lt;=Wirtschaftlichkeit!$O$8,$C45&gt;=Wirtschaftlichkeit!$O$8*Eingabemaske!$B$18),$C45,"0"))</f>
        <v>16.849799999999998</v>
      </c>
      <c r="CJ45" s="222">
        <v>2920</v>
      </c>
      <c r="CK45" s="224">
        <f t="shared" si="25"/>
        <v>1213.0355249999998</v>
      </c>
      <c r="CL45" s="222">
        <v>2920</v>
      </c>
      <c r="CM45" s="226">
        <f t="shared" si="26"/>
        <v>16.849799999999998</v>
      </c>
      <c r="CN45" s="312">
        <v>2920</v>
      </c>
      <c r="CO45" s="286">
        <f>CI45*Wirtschaftlichkeit!$O$5/Wirtschaftlichkeit!$O$7</f>
        <v>7.2329005996792564</v>
      </c>
      <c r="CP45" s="284">
        <f t="shared" si="27"/>
        <v>520.70442237918212</v>
      </c>
      <c r="CR45" s="222">
        <v>2920</v>
      </c>
      <c r="CS45" s="225">
        <f>IF($C45&gt;=Wirtschaftlichkeit!$P$8,Wirtschaftlichkeit!$P$8,IF(AND($C45&lt;=Wirtschaftlichkeit!$P$8,$C45&gt;=Wirtschaftlichkeit!$P$8*Eingabemaske!$B$18),$C45,"0"))</f>
        <v>16.849799999999998</v>
      </c>
      <c r="CT45" s="222">
        <v>2920</v>
      </c>
      <c r="CU45" s="224">
        <f t="shared" si="28"/>
        <v>1213.0355249999998</v>
      </c>
      <c r="CV45" s="222">
        <v>2920</v>
      </c>
      <c r="CW45" s="226">
        <f t="shared" si="29"/>
        <v>16.849799999999998</v>
      </c>
      <c r="CX45" s="312">
        <v>2920</v>
      </c>
      <c r="CY45" s="286">
        <f>CS45*Wirtschaftlichkeit!$P$5/Wirtschaftlichkeit!$P$7</f>
        <v>7.3517881842291031</v>
      </c>
      <c r="CZ45" s="284">
        <f t="shared" si="30"/>
        <v>529.26326957857941</v>
      </c>
      <c r="DB45" s="222">
        <v>2920</v>
      </c>
      <c r="DC45" s="225">
        <f>IF($C45&gt;=Wirtschaftlichkeit!$Q$8,Wirtschaftlichkeit!$Q$8,IF(AND($C45&lt;=Wirtschaftlichkeit!$Q$8,$C45&gt;=Wirtschaftlichkeit!$Q$8*Eingabemaske!$B$18),$C45,"0"))</f>
        <v>16.849799999999998</v>
      </c>
      <c r="DD45" s="222">
        <v>2920</v>
      </c>
      <c r="DE45" s="224">
        <f t="shared" si="31"/>
        <v>1213.0355249999998</v>
      </c>
      <c r="DF45" s="222">
        <v>2920</v>
      </c>
      <c r="DG45" s="226">
        <f t="shared" si="32"/>
        <v>16.849799999999998</v>
      </c>
      <c r="DH45" s="312">
        <v>2920</v>
      </c>
      <c r="DI45" s="286">
        <f>DC45*Wirtschaftlichkeit!$Q$5/Wirtschaftlichkeit!$Q$7</f>
        <v>7.7150076464884538</v>
      </c>
      <c r="DJ45" s="284">
        <f t="shared" si="33"/>
        <v>555.4118357984745</v>
      </c>
      <c r="DL45" s="222">
        <v>2920</v>
      </c>
      <c r="DM45" s="225">
        <f>IF($C45&gt;=Wirtschaftlichkeit!$R$8,Wirtschaftlichkeit!$R$8,IF(AND($C45&lt;=Wirtschaftlichkeit!$R$8,$C45&gt;=Wirtschaftlichkeit!$R$8*Eingabemaske!$B$18),$C45,"0"))</f>
        <v>16.849799999999998</v>
      </c>
      <c r="DN45" s="222">
        <v>2920</v>
      </c>
      <c r="DO45" s="224">
        <f t="shared" si="34"/>
        <v>1213.0355249999998</v>
      </c>
      <c r="DP45" s="222">
        <v>2920</v>
      </c>
      <c r="DQ45" s="226">
        <f t="shared" si="35"/>
        <v>16.849799999999998</v>
      </c>
      <c r="DR45" s="312">
        <v>2920</v>
      </c>
      <c r="DS45" s="286">
        <f>DM45*Wirtschaftlichkeit!$R$5/Wirtschaftlichkeit!$R$7</f>
        <v>7.8168807203842698</v>
      </c>
      <c r="DT45" s="284">
        <f t="shared" si="36"/>
        <v>562.74578977279918</v>
      </c>
      <c r="DV45" s="222">
        <v>2920</v>
      </c>
      <c r="DW45" s="225">
        <f>IF($C45&gt;=Wirtschaftlichkeit!$S$8,Wirtschaftlichkeit!$S$8,IF(AND($C45&lt;=Wirtschaftlichkeit!$S$8,$C45&gt;=Wirtschaftlichkeit!$S$8*Eingabemaske!$B$18),$C45,"0"))</f>
        <v>16.849799999999998</v>
      </c>
      <c r="DX45" s="222">
        <v>2920</v>
      </c>
      <c r="DY45" s="224">
        <f t="shared" si="37"/>
        <v>1213.0355249999998</v>
      </c>
      <c r="DZ45" s="222">
        <v>2920</v>
      </c>
      <c r="EA45" s="226">
        <f t="shared" si="38"/>
        <v>16.849799999999998</v>
      </c>
      <c r="EB45" s="312">
        <v>2920</v>
      </c>
      <c r="EC45" s="286">
        <f>DW45*Wirtschaftlichkeit!$S$5/Wirtschaftlichkeit!$S$7</f>
        <v>7.9121647826928676</v>
      </c>
      <c r="ED45" s="284">
        <f t="shared" si="39"/>
        <v>569.60539359875804</v>
      </c>
      <c r="EF45" s="222">
        <v>2920</v>
      </c>
      <c r="EG45" s="225">
        <f>IF($C45&gt;=Wirtschaftlichkeit!$T$8,Wirtschaftlichkeit!$T$8,IF(AND($C45&lt;=Wirtschaftlichkeit!$T$8,$C45&gt;=Wirtschaftlichkeit!$T$8*Eingabemaske!$B$18),$C45,"0"))</f>
        <v>16.849799999999998</v>
      </c>
      <c r="EH45" s="222">
        <v>2920</v>
      </c>
      <c r="EI45" s="224">
        <f t="shared" si="40"/>
        <v>1213.0355249999998</v>
      </c>
      <c r="EJ45" s="222">
        <v>2920</v>
      </c>
      <c r="EK45" s="226">
        <f t="shared" si="41"/>
        <v>16.849799999999998</v>
      </c>
      <c r="EL45" s="312">
        <v>2920</v>
      </c>
      <c r="EM45" s="286">
        <f>EG45*Wirtschaftlichkeit!$T$5/Wirtschaftlichkeit!$T$7</f>
        <v>8.0017549930847451</v>
      </c>
      <c r="EN45" s="284">
        <f t="shared" si="42"/>
        <v>576.05509079976775</v>
      </c>
      <c r="EP45" s="222">
        <v>2920</v>
      </c>
      <c r="EQ45" s="225">
        <f>IF($C45&gt;=Wirtschaftlichkeit!$U$8,Wirtschaftlichkeit!$U$8,IF(AND($C45&lt;=Wirtschaftlichkeit!$U$8,$C45&gt;=Wirtschaftlichkeit!$U$8*Eingabemaske!$B$18),$C45,"0"))</f>
        <v>16.849799999999998</v>
      </c>
      <c r="ER45" s="222">
        <v>2920</v>
      </c>
      <c r="ES45" s="224">
        <f t="shared" si="43"/>
        <v>1213.0355249999998</v>
      </c>
      <c r="ET45" s="222">
        <v>2920</v>
      </c>
      <c r="EU45" s="226">
        <f t="shared" si="44"/>
        <v>16.849799999999998</v>
      </c>
      <c r="EV45" s="312">
        <v>2920</v>
      </c>
      <c r="EW45" s="286">
        <f>EQ45*Wirtschaftlichkeit!$U$5/Wirtschaftlichkeit!$U$7</f>
        <v>8.0863707414440764</v>
      </c>
      <c r="EX45" s="284">
        <f t="shared" si="45"/>
        <v>582.1466710401462</v>
      </c>
      <c r="EZ45" s="222">
        <v>2920</v>
      </c>
      <c r="FA45" s="225">
        <f>IF($C45&gt;=Wirtschaftlichkeit!$V$8,Wirtschaftlichkeit!$V$8,IF(AND($C45&lt;=Wirtschaftlichkeit!$V$8,$C45&gt;=Wirtschaftlichkeit!$V$8*Eingabemaske!$B$18),$C45,"0"))</f>
        <v>16.849799999999998</v>
      </c>
      <c r="FB45" s="222">
        <v>2920</v>
      </c>
      <c r="FC45" s="224">
        <f t="shared" si="46"/>
        <v>615.01769999999999</v>
      </c>
      <c r="FD45" s="222">
        <v>2920</v>
      </c>
      <c r="FE45" s="226">
        <f t="shared" si="47"/>
        <v>16.849799999999998</v>
      </c>
      <c r="FF45" s="312">
        <v>2920</v>
      </c>
      <c r="FG45" s="286">
        <f>FA45*Wirtschaftlichkeit!$V$5/Wirtschaftlichkeit!$V$7</f>
        <v>8.1665993928706175</v>
      </c>
      <c r="FH45" s="284">
        <f t="shared" si="48"/>
        <v>298.08087783977754</v>
      </c>
      <c r="FJ45" s="222">
        <v>2920</v>
      </c>
      <c r="FK45" s="225" t="str">
        <f>IF($C45&gt;=Wirtschaftlichkeit!$W$8,Wirtschaftlichkeit!$W$8,IF(AND($C45&lt;=Wirtschaftlichkeit!$W$8,$C45&gt;=Wirtschaftlichkeit!$W$8*Eingabemaske!$B$18),$C45,"0"))</f>
        <v>0</v>
      </c>
      <c r="FL45" s="222">
        <v>2920</v>
      </c>
      <c r="FM45" s="224">
        <f t="shared" si="49"/>
        <v>0</v>
      </c>
      <c r="FN45" s="222">
        <v>2920</v>
      </c>
      <c r="FO45" s="226" t="str">
        <f t="shared" si="50"/>
        <v xml:space="preserve"> </v>
      </c>
      <c r="FP45" s="312">
        <v>2920</v>
      </c>
      <c r="FQ45" s="286">
        <f>FK45*Wirtschaftlichkeit!$W$5/Wirtschaftlichkeit!$W$7</f>
        <v>0</v>
      </c>
      <c r="FR45" s="284">
        <f t="shared" si="51"/>
        <v>0</v>
      </c>
      <c r="FT45" s="222">
        <v>2920</v>
      </c>
      <c r="FU45" s="225" t="str">
        <f>IF($C45&gt;=Wirtschaftlichkeit!$X$8,Wirtschaftlichkeit!$X$8,IF(AND($C45&lt;=Wirtschaftlichkeit!$X$8,$C45&gt;=Wirtschaftlichkeit!$X$8*Eingabemaske!$B$18),$C45,"0"))</f>
        <v>0</v>
      </c>
      <c r="FV45" s="222">
        <v>2920</v>
      </c>
      <c r="FW45" s="224">
        <f t="shared" si="52"/>
        <v>0</v>
      </c>
      <c r="FX45" s="222">
        <v>2920</v>
      </c>
      <c r="FY45" s="226" t="str">
        <f t="shared" si="53"/>
        <v xml:space="preserve"> </v>
      </c>
      <c r="FZ45" s="312">
        <v>2920</v>
      </c>
      <c r="GA45" s="286">
        <f>FU45*Wirtschaftlichkeit!$X$5/Wirtschaftlichkeit!$X$7</f>
        <v>0</v>
      </c>
      <c r="GB45" s="284">
        <f t="shared" si="54"/>
        <v>0</v>
      </c>
      <c r="GD45" s="222">
        <v>2920</v>
      </c>
      <c r="GE45" s="225" t="str">
        <f>IF($C45&gt;=Wirtschaftlichkeit!$Y$8,Wirtschaftlichkeit!$Y$8,IF(AND($C45&lt;=Wirtschaftlichkeit!$Y$8,$C45&gt;=Wirtschaftlichkeit!$Y$8*Eingabemaske!$B$18),$C45,"0"))</f>
        <v>0</v>
      </c>
      <c r="GF45" s="222">
        <v>2920</v>
      </c>
      <c r="GG45" s="224">
        <f t="shared" si="55"/>
        <v>0</v>
      </c>
      <c r="GH45" s="222">
        <v>2920</v>
      </c>
      <c r="GI45" s="226" t="str">
        <f t="shared" si="56"/>
        <v xml:space="preserve"> </v>
      </c>
      <c r="GJ45" s="312">
        <v>2920</v>
      </c>
      <c r="GK45" s="286">
        <f>GE45*Wirtschaftlichkeit!$Y$5/Wirtschaftlichkeit!$Y$7</f>
        <v>0</v>
      </c>
      <c r="GL45" s="284">
        <f t="shared" si="57"/>
        <v>0</v>
      </c>
      <c r="GN45" s="222">
        <v>2920</v>
      </c>
      <c r="GO45" s="225" t="str">
        <f>IF($C45&gt;=Wirtschaftlichkeit!$Z$8,Wirtschaftlichkeit!$Z$8,IF(AND($C45&lt;=Wirtschaftlichkeit!$Z$8,$C45&gt;=Wirtschaftlichkeit!$Z$8*Eingabemaske!$B$18),$C45,"0"))</f>
        <v>0</v>
      </c>
      <c r="GP45" s="222">
        <v>2920</v>
      </c>
      <c r="GQ45" s="224">
        <f t="shared" si="58"/>
        <v>0</v>
      </c>
      <c r="GR45" s="222">
        <v>2920</v>
      </c>
      <c r="GS45" s="226" t="str">
        <f t="shared" si="59"/>
        <v xml:space="preserve"> </v>
      </c>
      <c r="GT45" s="312">
        <v>2920</v>
      </c>
      <c r="GU45" s="286">
        <f>GO45*Wirtschaftlichkeit!$Z$5/Wirtschaftlichkeit!$Z$7</f>
        <v>0</v>
      </c>
      <c r="GV45" s="284">
        <f t="shared" si="60"/>
        <v>0</v>
      </c>
      <c r="GW45" s="266"/>
      <c r="GX45" s="258">
        <v>2920</v>
      </c>
      <c r="GY45" s="270">
        <f>IF(Berechnung_Diagramme!$C$28=Berechnungen_Lastgang!$F$2,Berechnungen_Lastgang!G45,IF(Berechnung_Diagramme!$C$28=Berechnungen_Lastgang!$P$2,Berechnungen_Lastgang!Q45,IF(Berechnung_Diagramme!$C$28=Berechnungen_Lastgang!$Z$2,Berechnungen_Lastgang!AA45,IF(Berechnung_Diagramme!$C$28=Berechnungen_Lastgang!$AJ$2,Berechnungen_Lastgang!AK45,IF(Berechnung_Diagramme!$C$28=Berechnungen_Lastgang!$AT$2,Berechnungen_Lastgang!AU45,IF(Berechnung_Diagramme!$C$28=Berechnungen_Lastgang!$BD$2,Berechnungen_Lastgang!BE45,IF(Berechnung_Diagramme!$C$28=Berechnungen_Lastgang!$BN$2,Berechnungen_Lastgang!BO45,IF(Berechnung_Diagramme!$C$28=Berechnungen_Lastgang!$BX$2,Berechnungen_Lastgang!BY45,IF(Berechnung_Diagramme!$C$28=Berechnungen_Lastgang!$CH$2,Berechnungen_Lastgang!CI45,IF(Berechnung_Diagramme!$C$28=Berechnungen_Lastgang!$CR$2,Berechnungen_Lastgang!CS45,IF(Berechnung_Diagramme!$C$28=Berechnungen_Lastgang!$DB$2,Berechnungen_Lastgang!DC45,IF(Berechnung_Diagramme!$C$28=Berechnungen_Lastgang!$DL$2,Berechnungen_Lastgang!DM45,IF(Berechnung_Diagramme!$C$28=Berechnungen_Lastgang!$DV$2,Berechnungen_Lastgang!DW45,IF(Berechnung_Diagramme!$C$28=Berechnungen_Lastgang!$EF$2,Berechnungen_Lastgang!EG45,IF(Berechnung_Diagramme!$C$28=Berechnungen_Lastgang!$EP$2,Berechnungen_Lastgang!EQ45,IF(Berechnung_Diagramme!$C$28=Berechnungen_Lastgang!$EZ$2,Berechnungen_Lastgang!FA45,IF(Berechnung_Diagramme!$C$28=Berechnungen_Lastgang!$FJ$2,Berechnungen_Lastgang!FK45,IF(Berechnung_Diagramme!$C$28=Berechnungen_Lastgang!$FT$2,Berechnungen_Lastgang!FU45,IF(Berechnung_Diagramme!$C$28=Berechnungen_Lastgang!$GD$2,Berechnungen_Lastgang!GE45,IF(Berechnung_Diagramme!$C$28=Berechnungen_Lastgang!$GN$2,Berechnungen_Lastgang!GO45,""))))))))))))))))))))</f>
        <v>16.849799999999998</v>
      </c>
    </row>
    <row r="46" spans="2:207" ht="14.45" x14ac:dyDescent="0.3">
      <c r="B46" s="64">
        <v>2993</v>
      </c>
      <c r="C46" s="67">
        <f>C45+((C50-C45)/(B50-B45))*(B46-B45)</f>
        <v>16.384049999999998</v>
      </c>
      <c r="D46" s="66">
        <f t="shared" si="61"/>
        <v>1179.0357749999998</v>
      </c>
      <c r="F46" s="64">
        <v>2993</v>
      </c>
      <c r="G46" s="225">
        <f>IF($C46&gt;=Wirtschaftlichkeit!$G$8,Wirtschaftlichkeit!$G$8,IF(AND($C46&lt;=Wirtschaftlichkeit!$G$8,$C46&gt;=Wirtschaftlichkeit!$G$8*Eingabemaske!$B$18),$C46,"0"))</f>
        <v>2.8333333333333335</v>
      </c>
      <c r="H46" s="64">
        <v>2993</v>
      </c>
      <c r="I46" s="66">
        <f t="shared" si="62"/>
        <v>206.83333333333334</v>
      </c>
      <c r="J46" s="64">
        <v>2993</v>
      </c>
      <c r="K46" s="71">
        <f t="shared" si="63"/>
        <v>2.8333333333333335</v>
      </c>
      <c r="L46" s="312">
        <v>2993</v>
      </c>
      <c r="M46" s="286">
        <f>G46*Wirtschaftlichkeit!$G$5/Wirtschaftlichkeit!$G$7</f>
        <v>1</v>
      </c>
      <c r="N46" s="284">
        <f t="shared" si="3"/>
        <v>73</v>
      </c>
      <c r="P46" s="222">
        <v>2993</v>
      </c>
      <c r="Q46" s="225">
        <f>IF($C46&gt;=Wirtschaftlichkeit!$H$8,Wirtschaftlichkeit!$H$8,IF(AND($C46&lt;=Wirtschaftlichkeit!$H$8,$C46&gt;=Wirtschaftlichkeit!$H$8*Eingabemaske!$B$18),$C46,"0"))</f>
        <v>5.5876288659793811</v>
      </c>
      <c r="R46" s="222">
        <v>2993</v>
      </c>
      <c r="S46" s="224">
        <f t="shared" si="4"/>
        <v>407.89690721649481</v>
      </c>
      <c r="T46" s="222">
        <v>2993</v>
      </c>
      <c r="U46" s="226">
        <f t="shared" si="5"/>
        <v>5.5876288659793811</v>
      </c>
      <c r="V46" s="312">
        <v>2993</v>
      </c>
      <c r="W46" s="286">
        <f>Q46*Wirtschaftlichkeit!$H$5/Wirtschaftlichkeit!$H$7</f>
        <v>2</v>
      </c>
      <c r="X46" s="284">
        <f t="shared" si="6"/>
        <v>146</v>
      </c>
      <c r="Z46" s="222">
        <v>2993</v>
      </c>
      <c r="AA46" s="225">
        <f>IF($C46&gt;=Wirtschaftlichkeit!$I$8,Wirtschaftlichkeit!$I$8,IF(AND($C46&lt;=Wirtschaftlichkeit!$I$8,$C46&gt;=Wirtschaftlichkeit!$I$8*Eingabemaske!$B$18),$C46,"0"))</f>
        <v>8.2471643149712612</v>
      </c>
      <c r="AB46" s="222">
        <v>2993</v>
      </c>
      <c r="AC46" s="224">
        <f t="shared" si="7"/>
        <v>602.04299499290209</v>
      </c>
      <c r="AD46" s="222">
        <v>2993</v>
      </c>
      <c r="AE46" s="226">
        <f t="shared" si="8"/>
        <v>8.2471643149712612</v>
      </c>
      <c r="AF46" s="312">
        <v>2993</v>
      </c>
      <c r="AG46" s="286">
        <f>AA46*Wirtschaftlichkeit!$I$5/Wirtschaftlichkeit!$I$7</f>
        <v>3.0000000000000004</v>
      </c>
      <c r="AH46" s="284">
        <f t="shared" si="9"/>
        <v>219.00000000000003</v>
      </c>
      <c r="AJ46" s="222">
        <v>2993</v>
      </c>
      <c r="AK46" s="225">
        <f>IF($C46&gt;=Wirtschaftlichkeit!$J$8,Wirtschaftlichkeit!$J$8,IF(AND($C46&lt;=Wirtschaftlichkeit!$J$8,$C46&gt;=Wirtschaftlichkeit!$J$8*Eingabemaske!$B$18),$C46,"0"))</f>
        <v>10.537455322965799</v>
      </c>
      <c r="AL46" s="222">
        <v>2993</v>
      </c>
      <c r="AM46" s="224">
        <f t="shared" si="10"/>
        <v>769.23423857650334</v>
      </c>
      <c r="AN46" s="222">
        <v>2993</v>
      </c>
      <c r="AO46" s="226">
        <f t="shared" si="11"/>
        <v>10.537455322965799</v>
      </c>
      <c r="AP46" s="312">
        <v>2993</v>
      </c>
      <c r="AQ46" s="286">
        <f>AK46*Wirtschaftlichkeit!$J$5/Wirtschaftlichkeit!$J$7</f>
        <v>4</v>
      </c>
      <c r="AR46" s="284">
        <f t="shared" si="12"/>
        <v>292</v>
      </c>
      <c r="AT46" s="222">
        <v>2993</v>
      </c>
      <c r="AU46" s="225">
        <f>IF($C46&gt;=Wirtschaftlichkeit!$K$8,Wirtschaftlichkeit!$K$8,IF(AND($C46&lt;=Wirtschaftlichkeit!$K$8,$C46&gt;=Wirtschaftlichkeit!$K$8*Eingabemaske!$B$18),$C46,"0"))</f>
        <v>12.739122166763016</v>
      </c>
      <c r="AV46" s="222">
        <v>2993</v>
      </c>
      <c r="AW46" s="224">
        <f t="shared" si="13"/>
        <v>929.95591817370018</v>
      </c>
      <c r="AX46" s="222">
        <v>2993</v>
      </c>
      <c r="AY46" s="226">
        <f t="shared" si="14"/>
        <v>12.739122166763016</v>
      </c>
      <c r="AZ46" s="312">
        <v>2993</v>
      </c>
      <c r="BA46" s="286">
        <f>AU46*Wirtschaftlichkeit!$K$5/Wirtschaftlichkeit!$K$7</f>
        <v>5</v>
      </c>
      <c r="BB46" s="284">
        <f t="shared" si="15"/>
        <v>365</v>
      </c>
      <c r="BD46" s="222">
        <v>2993</v>
      </c>
      <c r="BE46" s="225">
        <f>IF($C46&gt;=Wirtschaftlichkeit!$L$8,Wirtschaftlichkeit!$L$8,IF(AND($C46&lt;=Wirtschaftlichkeit!$L$8,$C46&gt;=Wirtschaftlichkeit!$L$8*Eingabemaske!$B$18),$C46,"0"))</f>
        <v>14.87189090675227</v>
      </c>
      <c r="BF46" s="222">
        <v>2993</v>
      </c>
      <c r="BG46" s="224">
        <f t="shared" si="16"/>
        <v>1085.6480361929157</v>
      </c>
      <c r="BH46" s="222">
        <v>2993</v>
      </c>
      <c r="BI46" s="226">
        <f t="shared" si="17"/>
        <v>14.87189090675227</v>
      </c>
      <c r="BJ46" s="312">
        <v>2993</v>
      </c>
      <c r="BK46" s="286">
        <f>BE46*Wirtschaftlichkeit!$L$5/Wirtschaftlichkeit!$L$7</f>
        <v>6</v>
      </c>
      <c r="BL46" s="284">
        <f t="shared" si="18"/>
        <v>438</v>
      </c>
      <c r="BN46" s="222">
        <v>2993</v>
      </c>
      <c r="BO46" s="225">
        <f>IF($C46&gt;=Wirtschaftlichkeit!$M$8,Wirtschaftlichkeit!$M$8,IF(AND($C46&lt;=Wirtschaftlichkeit!$M$8,$C46&gt;=Wirtschaftlichkeit!$M$8*Eingabemaske!$B$18),$C46,"0"))</f>
        <v>16.384049999999998</v>
      </c>
      <c r="BP46" s="222">
        <v>2993</v>
      </c>
      <c r="BQ46" s="224">
        <f t="shared" si="19"/>
        <v>1179.0357749999998</v>
      </c>
      <c r="BR46" s="222">
        <v>2993</v>
      </c>
      <c r="BS46" s="226">
        <f t="shared" si="20"/>
        <v>16.384049999999998</v>
      </c>
      <c r="BT46" s="312">
        <v>2993</v>
      </c>
      <c r="BU46" s="286">
        <f>BO46*Wirtschaftlichkeit!$M$5/Wirtschaftlichkeit!$M$7</f>
        <v>6.7668728300489791</v>
      </c>
      <c r="BV46" s="284">
        <f t="shared" si="21"/>
        <v>486.96049825917532</v>
      </c>
      <c r="BX46" s="222">
        <v>2993</v>
      </c>
      <c r="BY46" s="225">
        <f>IF($C46&gt;=Wirtschaftlichkeit!$N$8,Wirtschaftlichkeit!$N$8,IF(AND($C46&lt;=Wirtschaftlichkeit!$N$8,$C46&gt;=Wirtschaftlichkeit!$N$8*Eingabemaske!$B$18),$C46,"0"))</f>
        <v>16.384049999999998</v>
      </c>
      <c r="BZ46" s="222">
        <v>2993</v>
      </c>
      <c r="CA46" s="224">
        <f t="shared" si="22"/>
        <v>1179.0357749999998</v>
      </c>
      <c r="CB46" s="222">
        <v>2993</v>
      </c>
      <c r="CC46" s="226">
        <f t="shared" si="23"/>
        <v>16.384049999999998</v>
      </c>
      <c r="CD46" s="312">
        <v>2993</v>
      </c>
      <c r="CE46" s="286">
        <f>BY46*Wirtschaftlichkeit!$N$5/Wirtschaftlichkeit!$N$7</f>
        <v>6.9066032234661465</v>
      </c>
      <c r="CF46" s="284">
        <f t="shared" si="24"/>
        <v>497.01583455842155</v>
      </c>
      <c r="CH46" s="222">
        <v>2993</v>
      </c>
      <c r="CI46" s="225">
        <f>IF($C46&gt;=Wirtschaftlichkeit!$O$8,Wirtschaftlichkeit!$O$8,IF(AND($C46&lt;=Wirtschaftlichkeit!$O$8,$C46&gt;=Wirtschaftlichkeit!$O$8*Eingabemaske!$B$18),$C46,"0"))</f>
        <v>16.384049999999998</v>
      </c>
      <c r="CJ46" s="222">
        <v>2993</v>
      </c>
      <c r="CK46" s="224">
        <f t="shared" si="25"/>
        <v>1179.0357749999998</v>
      </c>
      <c r="CL46" s="222">
        <v>2993</v>
      </c>
      <c r="CM46" s="226">
        <f t="shared" si="26"/>
        <v>16.384049999999998</v>
      </c>
      <c r="CN46" s="312">
        <v>2993</v>
      </c>
      <c r="CO46" s="286">
        <f>CI46*Wirtschaftlichkeit!$O$5/Wirtschaftlichkeit!$O$7</f>
        <v>7.0329739860517586</v>
      </c>
      <c r="CP46" s="284">
        <f t="shared" si="27"/>
        <v>506.10977958437468</v>
      </c>
      <c r="CR46" s="222">
        <v>2993</v>
      </c>
      <c r="CS46" s="225">
        <f>IF($C46&gt;=Wirtschaftlichkeit!$P$8,Wirtschaftlichkeit!$P$8,IF(AND($C46&lt;=Wirtschaftlichkeit!$P$8,$C46&gt;=Wirtschaftlichkeit!$P$8*Eingabemaske!$B$18),$C46,"0"))</f>
        <v>16.384049999999998</v>
      </c>
      <c r="CT46" s="222">
        <v>2993</v>
      </c>
      <c r="CU46" s="224">
        <f t="shared" si="28"/>
        <v>1179.0357749999998</v>
      </c>
      <c r="CV46" s="222">
        <v>2993</v>
      </c>
      <c r="CW46" s="226">
        <f t="shared" si="29"/>
        <v>16.384049999999998</v>
      </c>
      <c r="CX46" s="312">
        <v>2993</v>
      </c>
      <c r="CY46" s="286">
        <f>CS46*Wirtschaftlichkeit!$P$5/Wirtschaftlichkeit!$P$7</f>
        <v>7.148575365868961</v>
      </c>
      <c r="CZ46" s="284">
        <f t="shared" si="30"/>
        <v>514.42873383828896</v>
      </c>
      <c r="DB46" s="222">
        <v>2993</v>
      </c>
      <c r="DC46" s="225">
        <f>IF($C46&gt;=Wirtschaftlichkeit!$Q$8,Wirtschaftlichkeit!$Q$8,IF(AND($C46&lt;=Wirtschaftlichkeit!$Q$8,$C46&gt;=Wirtschaftlichkeit!$Q$8*Eingabemaske!$B$18),$C46,"0"))</f>
        <v>16.384049999999998</v>
      </c>
      <c r="DD46" s="222">
        <v>2993</v>
      </c>
      <c r="DE46" s="224">
        <f t="shared" si="31"/>
        <v>1179.0357749999998</v>
      </c>
      <c r="DF46" s="222">
        <v>2993</v>
      </c>
      <c r="DG46" s="226">
        <f t="shared" si="32"/>
        <v>16.384049999999998</v>
      </c>
      <c r="DH46" s="312">
        <v>2993</v>
      </c>
      <c r="DI46" s="286">
        <f>DC46*Wirtschaftlichkeit!$Q$5/Wirtschaftlichkeit!$Q$7</f>
        <v>7.5017549781272868</v>
      </c>
      <c r="DJ46" s="284">
        <f t="shared" si="33"/>
        <v>539.84439100810937</v>
      </c>
      <c r="DL46" s="222">
        <v>2993</v>
      </c>
      <c r="DM46" s="225">
        <f>IF($C46&gt;=Wirtschaftlichkeit!$R$8,Wirtschaftlichkeit!$R$8,IF(AND($C46&lt;=Wirtschaftlichkeit!$R$8,$C46&gt;=Wirtschaftlichkeit!$R$8*Eingabemaske!$B$18),$C46,"0"))</f>
        <v>16.384049999999998</v>
      </c>
      <c r="DN46" s="222">
        <v>2993</v>
      </c>
      <c r="DO46" s="224">
        <f t="shared" si="34"/>
        <v>1179.0357749999998</v>
      </c>
      <c r="DP46" s="222">
        <v>2993</v>
      </c>
      <c r="DQ46" s="226">
        <f t="shared" si="35"/>
        <v>16.384049999999998</v>
      </c>
      <c r="DR46" s="312">
        <v>2993</v>
      </c>
      <c r="DS46" s="286">
        <f>DM46*Wirtschaftlichkeit!$R$5/Wirtschaftlichkeit!$R$7</f>
        <v>7.6008121501033781</v>
      </c>
      <c r="DT46" s="284">
        <f t="shared" si="36"/>
        <v>546.97278414229402</v>
      </c>
      <c r="DV46" s="222">
        <v>2993</v>
      </c>
      <c r="DW46" s="225">
        <f>IF($C46&gt;=Wirtschaftlichkeit!$S$8,Wirtschaftlichkeit!$S$8,IF(AND($C46&lt;=Wirtschaftlichkeit!$S$8,$C46&gt;=Wirtschaftlichkeit!$S$8*Eingabemaske!$B$18),$C46,"0"))</f>
        <v>16.384049999999998</v>
      </c>
      <c r="DX46" s="222">
        <v>2993</v>
      </c>
      <c r="DY46" s="224">
        <f t="shared" si="37"/>
        <v>1179.0357749999998</v>
      </c>
      <c r="DZ46" s="222">
        <v>2993</v>
      </c>
      <c r="EA46" s="226">
        <f t="shared" si="38"/>
        <v>16.384049999999998</v>
      </c>
      <c r="EB46" s="312">
        <v>2993</v>
      </c>
      <c r="EC46" s="286">
        <f>DW46*Wirtschaftlichkeit!$S$5/Wirtschaftlichkeit!$S$7</f>
        <v>7.6934624391909141</v>
      </c>
      <c r="ED46" s="284">
        <f t="shared" si="39"/>
        <v>553.64012252311545</v>
      </c>
      <c r="EF46" s="222">
        <v>2993</v>
      </c>
      <c r="EG46" s="225">
        <f>IF($C46&gt;=Wirtschaftlichkeit!$T$8,Wirtschaftlichkeit!$T$8,IF(AND($C46&lt;=Wirtschaftlichkeit!$T$8,$C46&gt;=Wirtschaftlichkeit!$T$8*Eingabemaske!$B$18),$C46,"0"))</f>
        <v>16.384049999999998</v>
      </c>
      <c r="EH46" s="222">
        <v>2993</v>
      </c>
      <c r="EI46" s="224">
        <f t="shared" si="40"/>
        <v>1179.0357749999998</v>
      </c>
      <c r="EJ46" s="222">
        <v>2993</v>
      </c>
      <c r="EK46" s="226">
        <f t="shared" si="41"/>
        <v>16.384049999999998</v>
      </c>
      <c r="EL46" s="312">
        <v>2993</v>
      </c>
      <c r="EM46" s="286">
        <f>EG46*Wirtschaftlichkeit!$T$5/Wirtschaftlichkeit!$T$7</f>
        <v>7.7805762617034118</v>
      </c>
      <c r="EN46" s="284">
        <f t="shared" si="42"/>
        <v>559.9090434089303</v>
      </c>
      <c r="EP46" s="222">
        <v>2993</v>
      </c>
      <c r="EQ46" s="225">
        <f>IF($C46&gt;=Wirtschaftlichkeit!$U$8,Wirtschaftlichkeit!$U$8,IF(AND($C46&lt;=Wirtschaftlichkeit!$U$8,$C46&gt;=Wirtschaftlichkeit!$U$8*Eingabemaske!$B$18),$C46,"0"))</f>
        <v>16.384049999999998</v>
      </c>
      <c r="ER46" s="222">
        <v>2993</v>
      </c>
      <c r="ES46" s="224">
        <f t="shared" si="43"/>
        <v>1179.0357749999998</v>
      </c>
      <c r="ET46" s="222">
        <v>2993</v>
      </c>
      <c r="EU46" s="226">
        <f t="shared" si="44"/>
        <v>16.384049999999998</v>
      </c>
      <c r="EV46" s="312">
        <v>2993</v>
      </c>
      <c r="EW46" s="286">
        <f>EQ46*Wirtschaftlichkeit!$U$5/Wirtschaftlichkeit!$U$7</f>
        <v>7.8628531226695175</v>
      </c>
      <c r="EX46" s="284">
        <f t="shared" si="45"/>
        <v>565.82988486960335</v>
      </c>
      <c r="EZ46" s="222">
        <v>2993</v>
      </c>
      <c r="FA46" s="225" t="str">
        <f>IF($C46&gt;=Wirtschaftlichkeit!$V$8,Wirtschaftlichkeit!$V$8,IF(AND($C46&lt;=Wirtschaftlichkeit!$V$8,$C46&gt;=Wirtschaftlichkeit!$V$8*Eingabemaske!$B$18),$C46,"0"))</f>
        <v>0</v>
      </c>
      <c r="FB46" s="222">
        <v>2993</v>
      </c>
      <c r="FC46" s="224">
        <f t="shared" si="46"/>
        <v>0</v>
      </c>
      <c r="FD46" s="222">
        <v>2993</v>
      </c>
      <c r="FE46" s="226" t="str">
        <f t="shared" si="47"/>
        <v xml:space="preserve"> </v>
      </c>
      <c r="FF46" s="312">
        <v>2993</v>
      </c>
      <c r="FG46" s="286">
        <f>FA46*Wirtschaftlichkeit!$V$5/Wirtschaftlichkeit!$V$7</f>
        <v>0</v>
      </c>
      <c r="FH46" s="284">
        <f t="shared" si="48"/>
        <v>0</v>
      </c>
      <c r="FJ46" s="222">
        <v>2993</v>
      </c>
      <c r="FK46" s="225" t="str">
        <f>IF($C46&gt;=Wirtschaftlichkeit!$W$8,Wirtschaftlichkeit!$W$8,IF(AND($C46&lt;=Wirtschaftlichkeit!$W$8,$C46&gt;=Wirtschaftlichkeit!$W$8*Eingabemaske!$B$18),$C46,"0"))</f>
        <v>0</v>
      </c>
      <c r="FL46" s="222">
        <v>2993</v>
      </c>
      <c r="FM46" s="224">
        <f t="shared" si="49"/>
        <v>0</v>
      </c>
      <c r="FN46" s="222">
        <v>2993</v>
      </c>
      <c r="FO46" s="226" t="str">
        <f t="shared" si="50"/>
        <v xml:space="preserve"> </v>
      </c>
      <c r="FP46" s="312">
        <v>2993</v>
      </c>
      <c r="FQ46" s="286">
        <f>FK46*Wirtschaftlichkeit!$W$5/Wirtschaftlichkeit!$W$7</f>
        <v>0</v>
      </c>
      <c r="FR46" s="284">
        <f t="shared" si="51"/>
        <v>0</v>
      </c>
      <c r="FT46" s="222">
        <v>2993</v>
      </c>
      <c r="FU46" s="225" t="str">
        <f>IF($C46&gt;=Wirtschaftlichkeit!$X$8,Wirtschaftlichkeit!$X$8,IF(AND($C46&lt;=Wirtschaftlichkeit!$X$8,$C46&gt;=Wirtschaftlichkeit!$X$8*Eingabemaske!$B$18),$C46,"0"))</f>
        <v>0</v>
      </c>
      <c r="FV46" s="222">
        <v>2993</v>
      </c>
      <c r="FW46" s="224">
        <f t="shared" si="52"/>
        <v>0</v>
      </c>
      <c r="FX46" s="222">
        <v>2993</v>
      </c>
      <c r="FY46" s="226" t="str">
        <f t="shared" si="53"/>
        <v xml:space="preserve"> </v>
      </c>
      <c r="FZ46" s="312">
        <v>2993</v>
      </c>
      <c r="GA46" s="286">
        <f>FU46*Wirtschaftlichkeit!$X$5/Wirtschaftlichkeit!$X$7</f>
        <v>0</v>
      </c>
      <c r="GB46" s="284">
        <f t="shared" si="54"/>
        <v>0</v>
      </c>
      <c r="GD46" s="222">
        <v>2993</v>
      </c>
      <c r="GE46" s="225" t="str">
        <f>IF($C46&gt;=Wirtschaftlichkeit!$Y$8,Wirtschaftlichkeit!$Y$8,IF(AND($C46&lt;=Wirtschaftlichkeit!$Y$8,$C46&gt;=Wirtschaftlichkeit!$Y$8*Eingabemaske!$B$18),$C46,"0"))</f>
        <v>0</v>
      </c>
      <c r="GF46" s="222">
        <v>2993</v>
      </c>
      <c r="GG46" s="224">
        <f t="shared" si="55"/>
        <v>0</v>
      </c>
      <c r="GH46" s="222">
        <v>2993</v>
      </c>
      <c r="GI46" s="226" t="str">
        <f t="shared" si="56"/>
        <v xml:space="preserve"> </v>
      </c>
      <c r="GJ46" s="312">
        <v>2993</v>
      </c>
      <c r="GK46" s="286">
        <f>GE46*Wirtschaftlichkeit!$Y$5/Wirtschaftlichkeit!$Y$7</f>
        <v>0</v>
      </c>
      <c r="GL46" s="284">
        <f t="shared" si="57"/>
        <v>0</v>
      </c>
      <c r="GN46" s="222">
        <v>2993</v>
      </c>
      <c r="GO46" s="225" t="str">
        <f>IF($C46&gt;=Wirtschaftlichkeit!$Z$8,Wirtschaftlichkeit!$Z$8,IF(AND($C46&lt;=Wirtschaftlichkeit!$Z$8,$C46&gt;=Wirtschaftlichkeit!$Z$8*Eingabemaske!$B$18),$C46,"0"))</f>
        <v>0</v>
      </c>
      <c r="GP46" s="222">
        <v>2993</v>
      </c>
      <c r="GQ46" s="224">
        <f t="shared" si="58"/>
        <v>0</v>
      </c>
      <c r="GR46" s="222">
        <v>2993</v>
      </c>
      <c r="GS46" s="226" t="str">
        <f t="shared" si="59"/>
        <v xml:space="preserve"> </v>
      </c>
      <c r="GT46" s="312">
        <v>2993</v>
      </c>
      <c r="GU46" s="286">
        <f>GO46*Wirtschaftlichkeit!$Z$5/Wirtschaftlichkeit!$Z$7</f>
        <v>0</v>
      </c>
      <c r="GV46" s="284">
        <f t="shared" si="60"/>
        <v>0</v>
      </c>
      <c r="GW46" s="266"/>
      <c r="GX46" s="258">
        <v>2993</v>
      </c>
      <c r="GY46" s="270">
        <f>IF(Berechnung_Diagramme!$C$28=Berechnungen_Lastgang!$F$2,Berechnungen_Lastgang!G46,IF(Berechnung_Diagramme!$C$28=Berechnungen_Lastgang!$P$2,Berechnungen_Lastgang!Q46,IF(Berechnung_Diagramme!$C$28=Berechnungen_Lastgang!$Z$2,Berechnungen_Lastgang!AA46,IF(Berechnung_Diagramme!$C$28=Berechnungen_Lastgang!$AJ$2,Berechnungen_Lastgang!AK46,IF(Berechnung_Diagramme!$C$28=Berechnungen_Lastgang!$AT$2,Berechnungen_Lastgang!AU46,IF(Berechnung_Diagramme!$C$28=Berechnungen_Lastgang!$BD$2,Berechnungen_Lastgang!BE46,IF(Berechnung_Diagramme!$C$28=Berechnungen_Lastgang!$BN$2,Berechnungen_Lastgang!BO46,IF(Berechnung_Diagramme!$C$28=Berechnungen_Lastgang!$BX$2,Berechnungen_Lastgang!BY46,IF(Berechnung_Diagramme!$C$28=Berechnungen_Lastgang!$CH$2,Berechnungen_Lastgang!CI46,IF(Berechnung_Diagramme!$C$28=Berechnungen_Lastgang!$CR$2,Berechnungen_Lastgang!CS46,IF(Berechnung_Diagramme!$C$28=Berechnungen_Lastgang!$DB$2,Berechnungen_Lastgang!DC46,IF(Berechnung_Diagramme!$C$28=Berechnungen_Lastgang!$DL$2,Berechnungen_Lastgang!DM46,IF(Berechnung_Diagramme!$C$28=Berechnungen_Lastgang!$DV$2,Berechnungen_Lastgang!DW46,IF(Berechnung_Diagramme!$C$28=Berechnungen_Lastgang!$EF$2,Berechnungen_Lastgang!EG46,IF(Berechnung_Diagramme!$C$28=Berechnungen_Lastgang!$EP$2,Berechnungen_Lastgang!EQ46,IF(Berechnung_Diagramme!$C$28=Berechnungen_Lastgang!$EZ$2,Berechnungen_Lastgang!FA46,IF(Berechnung_Diagramme!$C$28=Berechnungen_Lastgang!$FJ$2,Berechnungen_Lastgang!FK46,IF(Berechnung_Diagramme!$C$28=Berechnungen_Lastgang!$FT$2,Berechnungen_Lastgang!FU46,IF(Berechnung_Diagramme!$C$28=Berechnungen_Lastgang!$GD$2,Berechnungen_Lastgang!GE46,IF(Berechnung_Diagramme!$C$28=Berechnungen_Lastgang!$GN$2,Berechnungen_Lastgang!GO46,""))))))))))))))))))))</f>
        <v>16.384049999999998</v>
      </c>
    </row>
    <row r="47" spans="2:207" ht="14.45" x14ac:dyDescent="0.3">
      <c r="B47" s="64">
        <v>3066</v>
      </c>
      <c r="C47" s="67">
        <f>C46+((C50-C46)/(B50-B46))*(B47-B46)</f>
        <v>15.918299999999999</v>
      </c>
      <c r="D47" s="66">
        <f t="shared" si="61"/>
        <v>1145.0360249999999</v>
      </c>
      <c r="F47" s="64">
        <v>3066</v>
      </c>
      <c r="G47" s="225">
        <f>IF($C47&gt;=Wirtschaftlichkeit!$G$8,Wirtschaftlichkeit!$G$8,IF(AND($C47&lt;=Wirtschaftlichkeit!$G$8,$C47&gt;=Wirtschaftlichkeit!$G$8*Eingabemaske!$B$18),$C47,"0"))</f>
        <v>2.8333333333333335</v>
      </c>
      <c r="H47" s="64">
        <v>3066</v>
      </c>
      <c r="I47" s="66">
        <f t="shared" si="62"/>
        <v>206.83333333333334</v>
      </c>
      <c r="J47" s="64">
        <v>3066</v>
      </c>
      <c r="K47" s="71">
        <f t="shared" si="63"/>
        <v>2.8333333333333335</v>
      </c>
      <c r="L47" s="312">
        <v>3066</v>
      </c>
      <c r="M47" s="286">
        <f>G47*Wirtschaftlichkeit!$G$5/Wirtschaftlichkeit!$G$7</f>
        <v>1</v>
      </c>
      <c r="N47" s="284">
        <f t="shared" si="3"/>
        <v>73</v>
      </c>
      <c r="P47" s="222">
        <v>3066</v>
      </c>
      <c r="Q47" s="225">
        <f>IF($C47&gt;=Wirtschaftlichkeit!$H$8,Wirtschaftlichkeit!$H$8,IF(AND($C47&lt;=Wirtschaftlichkeit!$H$8,$C47&gt;=Wirtschaftlichkeit!$H$8*Eingabemaske!$B$18),$C47,"0"))</f>
        <v>5.5876288659793811</v>
      </c>
      <c r="R47" s="222">
        <v>3066</v>
      </c>
      <c r="S47" s="224">
        <f t="shared" si="4"/>
        <v>407.89690721649481</v>
      </c>
      <c r="T47" s="222">
        <v>3066</v>
      </c>
      <c r="U47" s="226">
        <f t="shared" si="5"/>
        <v>5.5876288659793811</v>
      </c>
      <c r="V47" s="312">
        <v>3066</v>
      </c>
      <c r="W47" s="286">
        <f>Q47*Wirtschaftlichkeit!$H$5/Wirtschaftlichkeit!$H$7</f>
        <v>2</v>
      </c>
      <c r="X47" s="284">
        <f t="shared" si="6"/>
        <v>146</v>
      </c>
      <c r="Z47" s="222">
        <v>3066</v>
      </c>
      <c r="AA47" s="225">
        <f>IF($C47&gt;=Wirtschaftlichkeit!$I$8,Wirtschaftlichkeit!$I$8,IF(AND($C47&lt;=Wirtschaftlichkeit!$I$8,$C47&gt;=Wirtschaftlichkeit!$I$8*Eingabemaske!$B$18),$C47,"0"))</f>
        <v>8.2471643149712612</v>
      </c>
      <c r="AB47" s="222">
        <v>3066</v>
      </c>
      <c r="AC47" s="224">
        <f t="shared" si="7"/>
        <v>602.04299499290209</v>
      </c>
      <c r="AD47" s="222">
        <v>3066</v>
      </c>
      <c r="AE47" s="226">
        <f t="shared" si="8"/>
        <v>8.2471643149712612</v>
      </c>
      <c r="AF47" s="312">
        <v>3066</v>
      </c>
      <c r="AG47" s="286">
        <f>AA47*Wirtschaftlichkeit!$I$5/Wirtschaftlichkeit!$I$7</f>
        <v>3.0000000000000004</v>
      </c>
      <c r="AH47" s="284">
        <f t="shared" si="9"/>
        <v>219.00000000000003</v>
      </c>
      <c r="AJ47" s="222">
        <v>3066</v>
      </c>
      <c r="AK47" s="225">
        <f>IF($C47&gt;=Wirtschaftlichkeit!$J$8,Wirtschaftlichkeit!$J$8,IF(AND($C47&lt;=Wirtschaftlichkeit!$J$8,$C47&gt;=Wirtschaftlichkeit!$J$8*Eingabemaske!$B$18),$C47,"0"))</f>
        <v>10.537455322965799</v>
      </c>
      <c r="AL47" s="222">
        <v>3066</v>
      </c>
      <c r="AM47" s="224">
        <f t="shared" si="10"/>
        <v>769.23423857650334</v>
      </c>
      <c r="AN47" s="222">
        <v>3066</v>
      </c>
      <c r="AO47" s="226">
        <f t="shared" si="11"/>
        <v>10.537455322965799</v>
      </c>
      <c r="AP47" s="312">
        <v>3066</v>
      </c>
      <c r="AQ47" s="286">
        <f>AK47*Wirtschaftlichkeit!$J$5/Wirtschaftlichkeit!$J$7</f>
        <v>4</v>
      </c>
      <c r="AR47" s="284">
        <f t="shared" si="12"/>
        <v>292</v>
      </c>
      <c r="AT47" s="222">
        <v>3066</v>
      </c>
      <c r="AU47" s="225">
        <f>IF($C47&gt;=Wirtschaftlichkeit!$K$8,Wirtschaftlichkeit!$K$8,IF(AND($C47&lt;=Wirtschaftlichkeit!$K$8,$C47&gt;=Wirtschaftlichkeit!$K$8*Eingabemaske!$B$18),$C47,"0"))</f>
        <v>12.739122166763016</v>
      </c>
      <c r="AV47" s="222">
        <v>3066</v>
      </c>
      <c r="AW47" s="224">
        <f t="shared" si="13"/>
        <v>929.95591817370018</v>
      </c>
      <c r="AX47" s="222">
        <v>3066</v>
      </c>
      <c r="AY47" s="226">
        <f t="shared" si="14"/>
        <v>12.739122166763016</v>
      </c>
      <c r="AZ47" s="312">
        <v>3066</v>
      </c>
      <c r="BA47" s="286">
        <f>AU47*Wirtschaftlichkeit!$K$5/Wirtschaftlichkeit!$K$7</f>
        <v>5</v>
      </c>
      <c r="BB47" s="284">
        <f t="shared" si="15"/>
        <v>365</v>
      </c>
      <c r="BD47" s="222">
        <v>3066</v>
      </c>
      <c r="BE47" s="225">
        <f>IF($C47&gt;=Wirtschaftlichkeit!$L$8,Wirtschaftlichkeit!$L$8,IF(AND($C47&lt;=Wirtschaftlichkeit!$L$8,$C47&gt;=Wirtschaftlichkeit!$L$8*Eingabemaske!$B$18),$C47,"0"))</f>
        <v>14.87189090675227</v>
      </c>
      <c r="BF47" s="222">
        <v>3066</v>
      </c>
      <c r="BG47" s="224">
        <f t="shared" si="16"/>
        <v>1085.6480361929157</v>
      </c>
      <c r="BH47" s="222">
        <v>3066</v>
      </c>
      <c r="BI47" s="226">
        <f t="shared" si="17"/>
        <v>14.87189090675227</v>
      </c>
      <c r="BJ47" s="312">
        <v>3066</v>
      </c>
      <c r="BK47" s="286">
        <f>BE47*Wirtschaftlichkeit!$L$5/Wirtschaftlichkeit!$L$7</f>
        <v>6</v>
      </c>
      <c r="BL47" s="284">
        <f t="shared" si="18"/>
        <v>438</v>
      </c>
      <c r="BN47" s="222">
        <v>3066</v>
      </c>
      <c r="BO47" s="225">
        <f>IF($C47&gt;=Wirtschaftlichkeit!$M$8,Wirtschaftlichkeit!$M$8,IF(AND($C47&lt;=Wirtschaftlichkeit!$M$8,$C47&gt;=Wirtschaftlichkeit!$M$8*Eingabemaske!$B$18),$C47,"0"))</f>
        <v>15.918299999999999</v>
      </c>
      <c r="BP47" s="222">
        <v>3066</v>
      </c>
      <c r="BQ47" s="224">
        <f t="shared" si="19"/>
        <v>1145.0360249999999</v>
      </c>
      <c r="BR47" s="222">
        <v>3066</v>
      </c>
      <c r="BS47" s="226">
        <f t="shared" si="20"/>
        <v>15.918299999999999</v>
      </c>
      <c r="BT47" s="312">
        <v>3066</v>
      </c>
      <c r="BU47" s="286">
        <f>BO47*Wirtschaftlichkeit!$M$5/Wirtschaftlichkeit!$M$7</f>
        <v>6.5745106839010292</v>
      </c>
      <c r="BV47" s="284">
        <f t="shared" si="21"/>
        <v>472.91806159037503</v>
      </c>
      <c r="BX47" s="222">
        <v>3066</v>
      </c>
      <c r="BY47" s="225">
        <f>IF($C47&gt;=Wirtschaftlichkeit!$N$8,Wirtschaftlichkeit!$N$8,IF(AND($C47&lt;=Wirtschaftlichkeit!$N$8,$C47&gt;=Wirtschaftlichkeit!$N$8*Eingabemaske!$B$18),$C47,"0"))</f>
        <v>15.918299999999999</v>
      </c>
      <c r="BZ47" s="222">
        <v>3066</v>
      </c>
      <c r="CA47" s="224">
        <f t="shared" si="22"/>
        <v>1145.0360249999999</v>
      </c>
      <c r="CB47" s="222">
        <v>3066</v>
      </c>
      <c r="CC47" s="226">
        <f t="shared" si="23"/>
        <v>15.918299999999999</v>
      </c>
      <c r="CD47" s="312">
        <v>3066</v>
      </c>
      <c r="CE47" s="286">
        <f>BY47*Wirtschaftlichkeit!$N$5/Wirtschaftlichkeit!$N$7</f>
        <v>6.7102689562166349</v>
      </c>
      <c r="CF47" s="284">
        <f t="shared" si="24"/>
        <v>482.68343304920722</v>
      </c>
      <c r="CH47" s="222">
        <v>3066</v>
      </c>
      <c r="CI47" s="225">
        <f>IF($C47&gt;=Wirtschaftlichkeit!$O$8,Wirtschaftlichkeit!$O$8,IF(AND($C47&lt;=Wirtschaftlichkeit!$O$8,$C47&gt;=Wirtschaftlichkeit!$O$8*Eingabemaske!$B$18),$C47,"0"))</f>
        <v>15.918299999999999</v>
      </c>
      <c r="CJ47" s="222">
        <v>3066</v>
      </c>
      <c r="CK47" s="224">
        <f t="shared" si="25"/>
        <v>1145.0360249999999</v>
      </c>
      <c r="CL47" s="222">
        <v>3066</v>
      </c>
      <c r="CM47" s="226">
        <f t="shared" si="26"/>
        <v>15.918299999999999</v>
      </c>
      <c r="CN47" s="312">
        <v>3066</v>
      </c>
      <c r="CO47" s="286">
        <f>CI47*Wirtschaftlichkeit!$O$5/Wirtschaftlichkeit!$O$7</f>
        <v>6.8330473724242609</v>
      </c>
      <c r="CP47" s="284">
        <f t="shared" si="27"/>
        <v>491.51513678956741</v>
      </c>
      <c r="CR47" s="222">
        <v>3066</v>
      </c>
      <c r="CS47" s="225">
        <f>IF($C47&gt;=Wirtschaftlichkeit!$P$8,Wirtschaftlichkeit!$P$8,IF(AND($C47&lt;=Wirtschaftlichkeit!$P$8,$C47&gt;=Wirtschaftlichkeit!$P$8*Eingabemaske!$B$18),$C47,"0"))</f>
        <v>15.918299999999999</v>
      </c>
      <c r="CT47" s="222">
        <v>3066</v>
      </c>
      <c r="CU47" s="224">
        <f t="shared" si="28"/>
        <v>1145.0360249999999</v>
      </c>
      <c r="CV47" s="222">
        <v>3066</v>
      </c>
      <c r="CW47" s="226">
        <f t="shared" si="29"/>
        <v>15.918299999999999</v>
      </c>
      <c r="CX47" s="312">
        <v>3066</v>
      </c>
      <c r="CY47" s="286">
        <f>CS47*Wirtschaftlichkeit!$P$5/Wirtschaftlichkeit!$P$7</f>
        <v>6.9453625475088199</v>
      </c>
      <c r="CZ47" s="284">
        <f t="shared" si="30"/>
        <v>499.59419809799874</v>
      </c>
      <c r="DB47" s="222">
        <v>3066</v>
      </c>
      <c r="DC47" s="225">
        <f>IF($C47&gt;=Wirtschaftlichkeit!$Q$8,Wirtschaftlichkeit!$Q$8,IF(AND($C47&lt;=Wirtschaftlichkeit!$Q$8,$C47&gt;=Wirtschaftlichkeit!$Q$8*Eingabemaske!$B$18),$C47,"0"))</f>
        <v>15.918299999999999</v>
      </c>
      <c r="DD47" s="222">
        <v>3066</v>
      </c>
      <c r="DE47" s="224">
        <f t="shared" si="31"/>
        <v>1145.0360249999999</v>
      </c>
      <c r="DF47" s="222">
        <v>3066</v>
      </c>
      <c r="DG47" s="226">
        <f t="shared" si="32"/>
        <v>15.918299999999999</v>
      </c>
      <c r="DH47" s="312">
        <v>3066</v>
      </c>
      <c r="DI47" s="286">
        <f>DC47*Wirtschaftlichkeit!$Q$5/Wirtschaftlichkeit!$Q$7</f>
        <v>7.2885023097661197</v>
      </c>
      <c r="DJ47" s="284">
        <f t="shared" si="33"/>
        <v>524.27694621774413</v>
      </c>
      <c r="DL47" s="222">
        <v>3066</v>
      </c>
      <c r="DM47" s="225">
        <f>IF($C47&gt;=Wirtschaftlichkeit!$R$8,Wirtschaftlichkeit!$R$8,IF(AND($C47&lt;=Wirtschaftlichkeit!$R$8,$C47&gt;=Wirtschaftlichkeit!$R$8*Eingabemaske!$B$18),$C47,"0"))</f>
        <v>15.918299999999999</v>
      </c>
      <c r="DN47" s="222">
        <v>3066</v>
      </c>
      <c r="DO47" s="224">
        <f t="shared" si="34"/>
        <v>1145.0360249999999</v>
      </c>
      <c r="DP47" s="222">
        <v>3066</v>
      </c>
      <c r="DQ47" s="226">
        <f t="shared" si="35"/>
        <v>15.918299999999999</v>
      </c>
      <c r="DR47" s="312">
        <v>3066</v>
      </c>
      <c r="DS47" s="286">
        <f>DM47*Wirtschaftlichkeit!$R$5/Wirtschaftlichkeit!$R$7</f>
        <v>7.3847435798224854</v>
      </c>
      <c r="DT47" s="284">
        <f t="shared" si="36"/>
        <v>531.19977851178896</v>
      </c>
      <c r="DV47" s="222">
        <v>3066</v>
      </c>
      <c r="DW47" s="225">
        <f>IF($C47&gt;=Wirtschaftlichkeit!$S$8,Wirtschaftlichkeit!$S$8,IF(AND($C47&lt;=Wirtschaftlichkeit!$S$8,$C47&gt;=Wirtschaftlichkeit!$S$8*Eingabemaske!$B$18),$C47,"0"))</f>
        <v>15.918299999999999</v>
      </c>
      <c r="DX47" s="222">
        <v>3066</v>
      </c>
      <c r="DY47" s="224">
        <f t="shared" si="37"/>
        <v>1145.0360249999999</v>
      </c>
      <c r="DZ47" s="222">
        <v>3066</v>
      </c>
      <c r="EA47" s="226">
        <f t="shared" si="38"/>
        <v>15.918299999999999</v>
      </c>
      <c r="EB47" s="312">
        <v>3066</v>
      </c>
      <c r="EC47" s="286">
        <f>DW47*Wirtschaftlichkeit!$S$5/Wirtschaftlichkeit!$S$7</f>
        <v>7.4747600956889606</v>
      </c>
      <c r="ED47" s="284">
        <f t="shared" si="39"/>
        <v>537.67485144747286</v>
      </c>
      <c r="EF47" s="222">
        <v>3066</v>
      </c>
      <c r="EG47" s="225">
        <f>IF($C47&gt;=Wirtschaftlichkeit!$T$8,Wirtschaftlichkeit!$T$8,IF(AND($C47&lt;=Wirtschaftlichkeit!$T$8,$C47&gt;=Wirtschaftlichkeit!$T$8*Eingabemaske!$B$18),$C47,"0"))</f>
        <v>15.918299999999999</v>
      </c>
      <c r="EH47" s="222">
        <v>3066</v>
      </c>
      <c r="EI47" s="224">
        <f t="shared" si="40"/>
        <v>1145.0360249999999</v>
      </c>
      <c r="EJ47" s="222">
        <v>3066</v>
      </c>
      <c r="EK47" s="226">
        <f t="shared" si="41"/>
        <v>15.918299999999999</v>
      </c>
      <c r="EL47" s="312">
        <v>3066</v>
      </c>
      <c r="EM47" s="286">
        <f>EG47*Wirtschaftlichkeit!$T$5/Wirtschaftlichkeit!$T$7</f>
        <v>7.5593975303220757</v>
      </c>
      <c r="EN47" s="284">
        <f t="shared" si="42"/>
        <v>543.76299601809285</v>
      </c>
      <c r="EP47" s="222">
        <v>3066</v>
      </c>
      <c r="EQ47" s="225">
        <f>IF($C47&gt;=Wirtschaftlichkeit!$U$8,Wirtschaftlichkeit!$U$8,IF(AND($C47&lt;=Wirtschaftlichkeit!$U$8,$C47&gt;=Wirtschaftlichkeit!$U$8*Eingabemaske!$B$18),$C47,"0"))</f>
        <v>15.918299999999999</v>
      </c>
      <c r="ER47" s="222">
        <v>3066</v>
      </c>
      <c r="ES47" s="224">
        <f t="shared" si="43"/>
        <v>581.01794999999993</v>
      </c>
      <c r="ET47" s="222">
        <v>3066</v>
      </c>
      <c r="EU47" s="226">
        <f t="shared" si="44"/>
        <v>15.918299999999999</v>
      </c>
      <c r="EV47" s="312">
        <v>3066</v>
      </c>
      <c r="EW47" s="286">
        <f>EQ47*Wirtschaftlichkeit!$U$5/Wirtschaftlichkeit!$U$7</f>
        <v>7.6393355038949569</v>
      </c>
      <c r="EX47" s="284">
        <f t="shared" si="45"/>
        <v>278.8357458921659</v>
      </c>
      <c r="EZ47" s="222">
        <v>3066</v>
      </c>
      <c r="FA47" s="225" t="str">
        <f>IF($C47&gt;=Wirtschaftlichkeit!$V$8,Wirtschaftlichkeit!$V$8,IF(AND($C47&lt;=Wirtschaftlichkeit!$V$8,$C47&gt;=Wirtschaftlichkeit!$V$8*Eingabemaske!$B$18),$C47,"0"))</f>
        <v>0</v>
      </c>
      <c r="FB47" s="222">
        <v>3066</v>
      </c>
      <c r="FC47" s="224">
        <f t="shared" si="46"/>
        <v>0</v>
      </c>
      <c r="FD47" s="222">
        <v>3066</v>
      </c>
      <c r="FE47" s="226" t="str">
        <f t="shared" si="47"/>
        <v xml:space="preserve"> </v>
      </c>
      <c r="FF47" s="312">
        <v>3066</v>
      </c>
      <c r="FG47" s="286">
        <f>FA47*Wirtschaftlichkeit!$V$5/Wirtschaftlichkeit!$V$7</f>
        <v>0</v>
      </c>
      <c r="FH47" s="284">
        <f t="shared" si="48"/>
        <v>0</v>
      </c>
      <c r="FJ47" s="222">
        <v>3066</v>
      </c>
      <c r="FK47" s="225" t="str">
        <f>IF($C47&gt;=Wirtschaftlichkeit!$W$8,Wirtschaftlichkeit!$W$8,IF(AND($C47&lt;=Wirtschaftlichkeit!$W$8,$C47&gt;=Wirtschaftlichkeit!$W$8*Eingabemaske!$B$18),$C47,"0"))</f>
        <v>0</v>
      </c>
      <c r="FL47" s="222">
        <v>3066</v>
      </c>
      <c r="FM47" s="224">
        <f t="shared" si="49"/>
        <v>0</v>
      </c>
      <c r="FN47" s="222">
        <v>3066</v>
      </c>
      <c r="FO47" s="226" t="str">
        <f t="shared" si="50"/>
        <v xml:space="preserve"> </v>
      </c>
      <c r="FP47" s="312">
        <v>3066</v>
      </c>
      <c r="FQ47" s="286">
        <f>FK47*Wirtschaftlichkeit!$W$5/Wirtschaftlichkeit!$W$7</f>
        <v>0</v>
      </c>
      <c r="FR47" s="284">
        <f t="shared" si="51"/>
        <v>0</v>
      </c>
      <c r="FT47" s="222">
        <v>3066</v>
      </c>
      <c r="FU47" s="225" t="str">
        <f>IF($C47&gt;=Wirtschaftlichkeit!$X$8,Wirtschaftlichkeit!$X$8,IF(AND($C47&lt;=Wirtschaftlichkeit!$X$8,$C47&gt;=Wirtschaftlichkeit!$X$8*Eingabemaske!$B$18),$C47,"0"))</f>
        <v>0</v>
      </c>
      <c r="FV47" s="222">
        <v>3066</v>
      </c>
      <c r="FW47" s="224">
        <f t="shared" si="52"/>
        <v>0</v>
      </c>
      <c r="FX47" s="222">
        <v>3066</v>
      </c>
      <c r="FY47" s="226" t="str">
        <f t="shared" si="53"/>
        <v xml:space="preserve"> </v>
      </c>
      <c r="FZ47" s="312">
        <v>3066</v>
      </c>
      <c r="GA47" s="286">
        <f>FU47*Wirtschaftlichkeit!$X$5/Wirtschaftlichkeit!$X$7</f>
        <v>0</v>
      </c>
      <c r="GB47" s="284">
        <f t="shared" si="54"/>
        <v>0</v>
      </c>
      <c r="GD47" s="222">
        <v>3066</v>
      </c>
      <c r="GE47" s="225" t="str">
        <f>IF($C47&gt;=Wirtschaftlichkeit!$Y$8,Wirtschaftlichkeit!$Y$8,IF(AND($C47&lt;=Wirtschaftlichkeit!$Y$8,$C47&gt;=Wirtschaftlichkeit!$Y$8*Eingabemaske!$B$18),$C47,"0"))</f>
        <v>0</v>
      </c>
      <c r="GF47" s="222">
        <v>3066</v>
      </c>
      <c r="GG47" s="224">
        <f t="shared" si="55"/>
        <v>0</v>
      </c>
      <c r="GH47" s="222">
        <v>3066</v>
      </c>
      <c r="GI47" s="226" t="str">
        <f t="shared" si="56"/>
        <v xml:space="preserve"> </v>
      </c>
      <c r="GJ47" s="312">
        <v>3066</v>
      </c>
      <c r="GK47" s="286">
        <f>GE47*Wirtschaftlichkeit!$Y$5/Wirtschaftlichkeit!$Y$7</f>
        <v>0</v>
      </c>
      <c r="GL47" s="284">
        <f t="shared" si="57"/>
        <v>0</v>
      </c>
      <c r="GN47" s="222">
        <v>3066</v>
      </c>
      <c r="GO47" s="225" t="str">
        <f>IF($C47&gt;=Wirtschaftlichkeit!$Z$8,Wirtschaftlichkeit!$Z$8,IF(AND($C47&lt;=Wirtschaftlichkeit!$Z$8,$C47&gt;=Wirtschaftlichkeit!$Z$8*Eingabemaske!$B$18),$C47,"0"))</f>
        <v>0</v>
      </c>
      <c r="GP47" s="222">
        <v>3066</v>
      </c>
      <c r="GQ47" s="224">
        <f t="shared" si="58"/>
        <v>0</v>
      </c>
      <c r="GR47" s="222">
        <v>3066</v>
      </c>
      <c r="GS47" s="226" t="str">
        <f t="shared" si="59"/>
        <v xml:space="preserve"> </v>
      </c>
      <c r="GT47" s="312">
        <v>3066</v>
      </c>
      <c r="GU47" s="286">
        <f>GO47*Wirtschaftlichkeit!$Z$5/Wirtschaftlichkeit!$Z$7</f>
        <v>0</v>
      </c>
      <c r="GV47" s="284">
        <f t="shared" si="60"/>
        <v>0</v>
      </c>
      <c r="GW47" s="266"/>
      <c r="GX47" s="258">
        <v>3066</v>
      </c>
      <c r="GY47" s="270">
        <f>IF(Berechnung_Diagramme!$C$28=Berechnungen_Lastgang!$F$2,Berechnungen_Lastgang!G47,IF(Berechnung_Diagramme!$C$28=Berechnungen_Lastgang!$P$2,Berechnungen_Lastgang!Q47,IF(Berechnung_Diagramme!$C$28=Berechnungen_Lastgang!$Z$2,Berechnungen_Lastgang!AA47,IF(Berechnung_Diagramme!$C$28=Berechnungen_Lastgang!$AJ$2,Berechnungen_Lastgang!AK47,IF(Berechnung_Diagramme!$C$28=Berechnungen_Lastgang!$AT$2,Berechnungen_Lastgang!AU47,IF(Berechnung_Diagramme!$C$28=Berechnungen_Lastgang!$BD$2,Berechnungen_Lastgang!BE47,IF(Berechnung_Diagramme!$C$28=Berechnungen_Lastgang!$BN$2,Berechnungen_Lastgang!BO47,IF(Berechnung_Diagramme!$C$28=Berechnungen_Lastgang!$BX$2,Berechnungen_Lastgang!BY47,IF(Berechnung_Diagramme!$C$28=Berechnungen_Lastgang!$CH$2,Berechnungen_Lastgang!CI47,IF(Berechnung_Diagramme!$C$28=Berechnungen_Lastgang!$CR$2,Berechnungen_Lastgang!CS47,IF(Berechnung_Diagramme!$C$28=Berechnungen_Lastgang!$DB$2,Berechnungen_Lastgang!DC47,IF(Berechnung_Diagramme!$C$28=Berechnungen_Lastgang!$DL$2,Berechnungen_Lastgang!DM47,IF(Berechnung_Diagramme!$C$28=Berechnungen_Lastgang!$DV$2,Berechnungen_Lastgang!DW47,IF(Berechnung_Diagramme!$C$28=Berechnungen_Lastgang!$EF$2,Berechnungen_Lastgang!EG47,IF(Berechnung_Diagramme!$C$28=Berechnungen_Lastgang!$EP$2,Berechnungen_Lastgang!EQ47,IF(Berechnung_Diagramme!$C$28=Berechnungen_Lastgang!$EZ$2,Berechnungen_Lastgang!FA47,IF(Berechnung_Diagramme!$C$28=Berechnungen_Lastgang!$FJ$2,Berechnungen_Lastgang!FK47,IF(Berechnung_Diagramme!$C$28=Berechnungen_Lastgang!$FT$2,Berechnungen_Lastgang!FU47,IF(Berechnung_Diagramme!$C$28=Berechnungen_Lastgang!$GD$2,Berechnungen_Lastgang!GE47,IF(Berechnung_Diagramme!$C$28=Berechnungen_Lastgang!$GN$2,Berechnungen_Lastgang!GO47,""))))))))))))))))))))</f>
        <v>15.918299999999999</v>
      </c>
    </row>
    <row r="48" spans="2:207" ht="14.45" x14ac:dyDescent="0.3">
      <c r="B48" s="64">
        <v>3139</v>
      </c>
      <c r="C48" s="67">
        <f>C47+((C50-C47)/(B50-B47))*(B48-B47)</f>
        <v>15.452549999999999</v>
      </c>
      <c r="D48" s="66">
        <f t="shared" si="61"/>
        <v>1111.0362749999999</v>
      </c>
      <c r="F48" s="64">
        <v>3139</v>
      </c>
      <c r="G48" s="225">
        <f>IF($C48&gt;=Wirtschaftlichkeit!$G$8,Wirtschaftlichkeit!$G$8,IF(AND($C48&lt;=Wirtschaftlichkeit!$G$8,$C48&gt;=Wirtschaftlichkeit!$G$8*Eingabemaske!$B$18),$C48,"0"))</f>
        <v>2.8333333333333335</v>
      </c>
      <c r="H48" s="64">
        <v>3139</v>
      </c>
      <c r="I48" s="66">
        <f t="shared" si="62"/>
        <v>206.83333333333334</v>
      </c>
      <c r="J48" s="64">
        <v>3139</v>
      </c>
      <c r="K48" s="71">
        <f t="shared" si="63"/>
        <v>2.8333333333333335</v>
      </c>
      <c r="L48" s="312">
        <v>3139</v>
      </c>
      <c r="M48" s="286">
        <f>G48*Wirtschaftlichkeit!$G$5/Wirtschaftlichkeit!$G$7</f>
        <v>1</v>
      </c>
      <c r="N48" s="284">
        <f t="shared" si="3"/>
        <v>73</v>
      </c>
      <c r="P48" s="222">
        <v>3139</v>
      </c>
      <c r="Q48" s="225">
        <f>IF($C48&gt;=Wirtschaftlichkeit!$H$8,Wirtschaftlichkeit!$H$8,IF(AND($C48&lt;=Wirtschaftlichkeit!$H$8,$C48&gt;=Wirtschaftlichkeit!$H$8*Eingabemaske!$B$18),$C48,"0"))</f>
        <v>5.5876288659793811</v>
      </c>
      <c r="R48" s="222">
        <v>3139</v>
      </c>
      <c r="S48" s="224">
        <f t="shared" si="4"/>
        <v>407.89690721649481</v>
      </c>
      <c r="T48" s="222">
        <v>3139</v>
      </c>
      <c r="U48" s="226">
        <f t="shared" si="5"/>
        <v>5.5876288659793811</v>
      </c>
      <c r="V48" s="312">
        <v>3139</v>
      </c>
      <c r="W48" s="286">
        <f>Q48*Wirtschaftlichkeit!$H$5/Wirtschaftlichkeit!$H$7</f>
        <v>2</v>
      </c>
      <c r="X48" s="284">
        <f t="shared" si="6"/>
        <v>146</v>
      </c>
      <c r="Z48" s="222">
        <v>3139</v>
      </c>
      <c r="AA48" s="225">
        <f>IF($C48&gt;=Wirtschaftlichkeit!$I$8,Wirtschaftlichkeit!$I$8,IF(AND($C48&lt;=Wirtschaftlichkeit!$I$8,$C48&gt;=Wirtschaftlichkeit!$I$8*Eingabemaske!$B$18),$C48,"0"))</f>
        <v>8.2471643149712612</v>
      </c>
      <c r="AB48" s="222">
        <v>3139</v>
      </c>
      <c r="AC48" s="224">
        <f t="shared" si="7"/>
        <v>602.04299499290209</v>
      </c>
      <c r="AD48" s="222">
        <v>3139</v>
      </c>
      <c r="AE48" s="226">
        <f t="shared" si="8"/>
        <v>8.2471643149712612</v>
      </c>
      <c r="AF48" s="312">
        <v>3139</v>
      </c>
      <c r="AG48" s="286">
        <f>AA48*Wirtschaftlichkeit!$I$5/Wirtschaftlichkeit!$I$7</f>
        <v>3.0000000000000004</v>
      </c>
      <c r="AH48" s="284">
        <f t="shared" si="9"/>
        <v>219.00000000000003</v>
      </c>
      <c r="AJ48" s="222">
        <v>3139</v>
      </c>
      <c r="AK48" s="225">
        <f>IF($C48&gt;=Wirtschaftlichkeit!$J$8,Wirtschaftlichkeit!$J$8,IF(AND($C48&lt;=Wirtschaftlichkeit!$J$8,$C48&gt;=Wirtschaftlichkeit!$J$8*Eingabemaske!$B$18),$C48,"0"))</f>
        <v>10.537455322965799</v>
      </c>
      <c r="AL48" s="222">
        <v>3139</v>
      </c>
      <c r="AM48" s="224">
        <f t="shared" si="10"/>
        <v>769.23423857650334</v>
      </c>
      <c r="AN48" s="222">
        <v>3139</v>
      </c>
      <c r="AO48" s="226">
        <f t="shared" si="11"/>
        <v>10.537455322965799</v>
      </c>
      <c r="AP48" s="312">
        <v>3139</v>
      </c>
      <c r="AQ48" s="286">
        <f>AK48*Wirtschaftlichkeit!$J$5/Wirtschaftlichkeit!$J$7</f>
        <v>4</v>
      </c>
      <c r="AR48" s="284">
        <f t="shared" si="12"/>
        <v>292</v>
      </c>
      <c r="AT48" s="222">
        <v>3139</v>
      </c>
      <c r="AU48" s="225">
        <f>IF($C48&gt;=Wirtschaftlichkeit!$K$8,Wirtschaftlichkeit!$K$8,IF(AND($C48&lt;=Wirtschaftlichkeit!$K$8,$C48&gt;=Wirtschaftlichkeit!$K$8*Eingabemaske!$B$18),$C48,"0"))</f>
        <v>12.739122166763016</v>
      </c>
      <c r="AV48" s="222">
        <v>3139</v>
      </c>
      <c r="AW48" s="224">
        <f t="shared" si="13"/>
        <v>929.95591817370018</v>
      </c>
      <c r="AX48" s="222">
        <v>3139</v>
      </c>
      <c r="AY48" s="226">
        <f t="shared" si="14"/>
        <v>12.739122166763016</v>
      </c>
      <c r="AZ48" s="312">
        <v>3139</v>
      </c>
      <c r="BA48" s="286">
        <f>AU48*Wirtschaftlichkeit!$K$5/Wirtschaftlichkeit!$K$7</f>
        <v>5</v>
      </c>
      <c r="BB48" s="284">
        <f t="shared" si="15"/>
        <v>365</v>
      </c>
      <c r="BD48" s="222">
        <v>3139</v>
      </c>
      <c r="BE48" s="225">
        <f>IF($C48&gt;=Wirtschaftlichkeit!$L$8,Wirtschaftlichkeit!$L$8,IF(AND($C48&lt;=Wirtschaftlichkeit!$L$8,$C48&gt;=Wirtschaftlichkeit!$L$8*Eingabemaske!$B$18),$C48,"0"))</f>
        <v>14.87189090675227</v>
      </c>
      <c r="BF48" s="222">
        <v>3139</v>
      </c>
      <c r="BG48" s="224">
        <f t="shared" si="16"/>
        <v>1085.6480361929157</v>
      </c>
      <c r="BH48" s="222">
        <v>3139</v>
      </c>
      <c r="BI48" s="226">
        <f t="shared" si="17"/>
        <v>14.87189090675227</v>
      </c>
      <c r="BJ48" s="312">
        <v>3139</v>
      </c>
      <c r="BK48" s="286">
        <f>BE48*Wirtschaftlichkeit!$L$5/Wirtschaftlichkeit!$L$7</f>
        <v>6</v>
      </c>
      <c r="BL48" s="284">
        <f t="shared" si="18"/>
        <v>438</v>
      </c>
      <c r="BN48" s="222">
        <v>3139</v>
      </c>
      <c r="BO48" s="225">
        <f>IF($C48&gt;=Wirtschaftlichkeit!$M$8,Wirtschaftlichkeit!$M$8,IF(AND($C48&lt;=Wirtschaftlichkeit!$M$8,$C48&gt;=Wirtschaftlichkeit!$M$8*Eingabemaske!$B$18),$C48,"0"))</f>
        <v>15.452549999999999</v>
      </c>
      <c r="BP48" s="222">
        <v>3139</v>
      </c>
      <c r="BQ48" s="224">
        <f t="shared" si="19"/>
        <v>1111.0362749999999</v>
      </c>
      <c r="BR48" s="222">
        <v>3139</v>
      </c>
      <c r="BS48" s="226">
        <f t="shared" si="20"/>
        <v>15.452549999999999</v>
      </c>
      <c r="BT48" s="312">
        <v>3139</v>
      </c>
      <c r="BU48" s="286">
        <f>BO48*Wirtschaftlichkeit!$M$5/Wirtschaftlichkeit!$M$7</f>
        <v>6.3821485377530811</v>
      </c>
      <c r="BV48" s="284">
        <f t="shared" si="21"/>
        <v>458.87562492157474</v>
      </c>
      <c r="BX48" s="222">
        <v>3139</v>
      </c>
      <c r="BY48" s="225">
        <f>IF($C48&gt;=Wirtschaftlichkeit!$N$8,Wirtschaftlichkeit!$N$8,IF(AND($C48&lt;=Wirtschaftlichkeit!$N$8,$C48&gt;=Wirtschaftlichkeit!$N$8*Eingabemaske!$B$18),$C48,"0"))</f>
        <v>15.452549999999999</v>
      </c>
      <c r="BZ48" s="222">
        <v>3139</v>
      </c>
      <c r="CA48" s="224">
        <f t="shared" si="22"/>
        <v>1111.0362749999999</v>
      </c>
      <c r="CB48" s="222">
        <v>3139</v>
      </c>
      <c r="CC48" s="226">
        <f t="shared" si="23"/>
        <v>15.452549999999999</v>
      </c>
      <c r="CD48" s="312">
        <v>3139</v>
      </c>
      <c r="CE48" s="286">
        <f>BY48*Wirtschaftlichkeit!$N$5/Wirtschaftlichkeit!$N$7</f>
        <v>6.5139346889671241</v>
      </c>
      <c r="CF48" s="284">
        <f t="shared" si="24"/>
        <v>468.3510315399929</v>
      </c>
      <c r="CH48" s="222">
        <v>3139</v>
      </c>
      <c r="CI48" s="225">
        <f>IF($C48&gt;=Wirtschaftlichkeit!$O$8,Wirtschaftlichkeit!$O$8,IF(AND($C48&lt;=Wirtschaftlichkeit!$O$8,$C48&gt;=Wirtschaftlichkeit!$O$8*Eingabemaske!$B$18),$C48,"0"))</f>
        <v>15.452549999999999</v>
      </c>
      <c r="CJ48" s="222">
        <v>3139</v>
      </c>
      <c r="CK48" s="224">
        <f t="shared" si="25"/>
        <v>1111.0362749999999</v>
      </c>
      <c r="CL48" s="222">
        <v>3139</v>
      </c>
      <c r="CM48" s="226">
        <f t="shared" si="26"/>
        <v>15.452549999999999</v>
      </c>
      <c r="CN48" s="312">
        <v>3139</v>
      </c>
      <c r="CO48" s="286">
        <f>CI48*Wirtschaftlichkeit!$O$5/Wirtschaftlichkeit!$O$7</f>
        <v>6.6331207587967631</v>
      </c>
      <c r="CP48" s="284">
        <f t="shared" si="27"/>
        <v>476.92049399476002</v>
      </c>
      <c r="CR48" s="222">
        <v>3139</v>
      </c>
      <c r="CS48" s="225">
        <f>IF($C48&gt;=Wirtschaftlichkeit!$P$8,Wirtschaftlichkeit!$P$8,IF(AND($C48&lt;=Wirtschaftlichkeit!$P$8,$C48&gt;=Wirtschaftlichkeit!$P$8*Eingabemaske!$B$18),$C48,"0"))</f>
        <v>15.452549999999999</v>
      </c>
      <c r="CT48" s="222">
        <v>3139</v>
      </c>
      <c r="CU48" s="224">
        <f t="shared" si="28"/>
        <v>1111.0362749999999</v>
      </c>
      <c r="CV48" s="222">
        <v>3139</v>
      </c>
      <c r="CW48" s="226">
        <f t="shared" si="29"/>
        <v>15.452549999999999</v>
      </c>
      <c r="CX48" s="312">
        <v>3139</v>
      </c>
      <c r="CY48" s="286">
        <f>CS48*Wirtschaftlichkeit!$P$5/Wirtschaftlichkeit!$P$7</f>
        <v>6.7421497291486796</v>
      </c>
      <c r="CZ48" s="284">
        <f t="shared" si="30"/>
        <v>484.75966235770846</v>
      </c>
      <c r="DB48" s="222">
        <v>3139</v>
      </c>
      <c r="DC48" s="225">
        <f>IF($C48&gt;=Wirtschaftlichkeit!$Q$8,Wirtschaftlichkeit!$Q$8,IF(AND($C48&lt;=Wirtschaftlichkeit!$Q$8,$C48&gt;=Wirtschaftlichkeit!$Q$8*Eingabemaske!$B$18),$C48,"0"))</f>
        <v>15.452549999999999</v>
      </c>
      <c r="DD48" s="222">
        <v>3139</v>
      </c>
      <c r="DE48" s="224">
        <f t="shared" si="31"/>
        <v>1111.0362749999999</v>
      </c>
      <c r="DF48" s="222">
        <v>3139</v>
      </c>
      <c r="DG48" s="226">
        <f t="shared" si="32"/>
        <v>15.452549999999999</v>
      </c>
      <c r="DH48" s="312">
        <v>3139</v>
      </c>
      <c r="DI48" s="286">
        <f>DC48*Wirtschaftlichkeit!$Q$5/Wirtschaftlichkeit!$Q$7</f>
        <v>7.0752496414049517</v>
      </c>
      <c r="DJ48" s="284">
        <f t="shared" si="33"/>
        <v>508.70950142737883</v>
      </c>
      <c r="DL48" s="222">
        <v>3139</v>
      </c>
      <c r="DM48" s="225">
        <f>IF($C48&gt;=Wirtschaftlichkeit!$R$8,Wirtschaftlichkeit!$R$8,IF(AND($C48&lt;=Wirtschaftlichkeit!$R$8,$C48&gt;=Wirtschaftlichkeit!$R$8*Eingabemaske!$B$18),$C48,"0"))</f>
        <v>15.452549999999999</v>
      </c>
      <c r="DN48" s="222">
        <v>3139</v>
      </c>
      <c r="DO48" s="224">
        <f t="shared" si="34"/>
        <v>1111.0362749999999</v>
      </c>
      <c r="DP48" s="222">
        <v>3139</v>
      </c>
      <c r="DQ48" s="226">
        <f t="shared" si="35"/>
        <v>15.452549999999999</v>
      </c>
      <c r="DR48" s="312">
        <v>3139</v>
      </c>
      <c r="DS48" s="286">
        <f>DM48*Wirtschaftlichkeit!$R$5/Wirtschaftlichkeit!$R$7</f>
        <v>7.1686750095415945</v>
      </c>
      <c r="DT48" s="284">
        <f t="shared" si="36"/>
        <v>515.4267728812838</v>
      </c>
      <c r="DV48" s="222">
        <v>3139</v>
      </c>
      <c r="DW48" s="225">
        <f>IF($C48&gt;=Wirtschaftlichkeit!$S$8,Wirtschaftlichkeit!$S$8,IF(AND($C48&lt;=Wirtschaftlichkeit!$S$8,$C48&gt;=Wirtschaftlichkeit!$S$8*Eingabemaske!$B$18),$C48,"0"))</f>
        <v>15.452549999999999</v>
      </c>
      <c r="DX48" s="222">
        <v>3139</v>
      </c>
      <c r="DY48" s="224">
        <f t="shared" si="37"/>
        <v>1111.0362749999999</v>
      </c>
      <c r="DZ48" s="222">
        <v>3139</v>
      </c>
      <c r="EA48" s="226">
        <f t="shared" si="38"/>
        <v>15.452549999999999</v>
      </c>
      <c r="EB48" s="312">
        <v>3139</v>
      </c>
      <c r="EC48" s="286">
        <f>DW48*Wirtschaftlichkeit!$S$5/Wirtschaftlichkeit!$S$7</f>
        <v>7.2560577521870089</v>
      </c>
      <c r="ED48" s="284">
        <f t="shared" si="39"/>
        <v>521.70958037183027</v>
      </c>
      <c r="EF48" s="222">
        <v>3139</v>
      </c>
      <c r="EG48" s="225">
        <f>IF($C48&gt;=Wirtschaftlichkeit!$T$8,Wirtschaftlichkeit!$T$8,IF(AND($C48&lt;=Wirtschaftlichkeit!$T$8,$C48&gt;=Wirtschaftlichkeit!$T$8*Eingabemaske!$B$18),$C48,"0"))</f>
        <v>15.452549999999999</v>
      </c>
      <c r="EH48" s="222">
        <v>3139</v>
      </c>
      <c r="EI48" s="224">
        <f t="shared" si="40"/>
        <v>1111.0362749999999</v>
      </c>
      <c r="EJ48" s="222">
        <v>3139</v>
      </c>
      <c r="EK48" s="226">
        <f t="shared" si="41"/>
        <v>15.452549999999999</v>
      </c>
      <c r="EL48" s="312">
        <v>3139</v>
      </c>
      <c r="EM48" s="286">
        <f>EG48*Wirtschaftlichkeit!$T$5/Wirtschaftlichkeit!$T$7</f>
        <v>7.3382187989407406</v>
      </c>
      <c r="EN48" s="284">
        <f t="shared" si="42"/>
        <v>527.61694862725528</v>
      </c>
      <c r="EP48" s="222">
        <v>3139</v>
      </c>
      <c r="EQ48" s="225" t="str">
        <f>IF($C48&gt;=Wirtschaftlichkeit!$U$8,Wirtschaftlichkeit!$U$8,IF(AND($C48&lt;=Wirtschaftlichkeit!$U$8,$C48&gt;=Wirtschaftlichkeit!$U$8*Eingabemaske!$B$18),$C48,"0"))</f>
        <v>0</v>
      </c>
      <c r="ER48" s="222">
        <v>3139</v>
      </c>
      <c r="ES48" s="224">
        <f t="shared" si="43"/>
        <v>0</v>
      </c>
      <c r="ET48" s="222">
        <v>3139</v>
      </c>
      <c r="EU48" s="226" t="str">
        <f t="shared" si="44"/>
        <v xml:space="preserve"> </v>
      </c>
      <c r="EV48" s="312">
        <v>3139</v>
      </c>
      <c r="EW48" s="286">
        <f>EQ48*Wirtschaftlichkeit!$U$5/Wirtschaftlichkeit!$U$7</f>
        <v>0</v>
      </c>
      <c r="EX48" s="284">
        <f t="shared" si="45"/>
        <v>0</v>
      </c>
      <c r="EZ48" s="222">
        <v>3139</v>
      </c>
      <c r="FA48" s="225" t="str">
        <f>IF($C48&gt;=Wirtschaftlichkeit!$V$8,Wirtschaftlichkeit!$V$8,IF(AND($C48&lt;=Wirtschaftlichkeit!$V$8,$C48&gt;=Wirtschaftlichkeit!$V$8*Eingabemaske!$B$18),$C48,"0"))</f>
        <v>0</v>
      </c>
      <c r="FB48" s="222">
        <v>3139</v>
      </c>
      <c r="FC48" s="224">
        <f t="shared" si="46"/>
        <v>0</v>
      </c>
      <c r="FD48" s="222">
        <v>3139</v>
      </c>
      <c r="FE48" s="226" t="str">
        <f t="shared" si="47"/>
        <v xml:space="preserve"> </v>
      </c>
      <c r="FF48" s="312">
        <v>3139</v>
      </c>
      <c r="FG48" s="286">
        <f>FA48*Wirtschaftlichkeit!$V$5/Wirtschaftlichkeit!$V$7</f>
        <v>0</v>
      </c>
      <c r="FH48" s="284">
        <f t="shared" si="48"/>
        <v>0</v>
      </c>
      <c r="FJ48" s="222">
        <v>3139</v>
      </c>
      <c r="FK48" s="225" t="str">
        <f>IF($C48&gt;=Wirtschaftlichkeit!$W$8,Wirtschaftlichkeit!$W$8,IF(AND($C48&lt;=Wirtschaftlichkeit!$W$8,$C48&gt;=Wirtschaftlichkeit!$W$8*Eingabemaske!$B$18),$C48,"0"))</f>
        <v>0</v>
      </c>
      <c r="FL48" s="222">
        <v>3139</v>
      </c>
      <c r="FM48" s="224">
        <f t="shared" si="49"/>
        <v>0</v>
      </c>
      <c r="FN48" s="222">
        <v>3139</v>
      </c>
      <c r="FO48" s="226" t="str">
        <f t="shared" si="50"/>
        <v xml:space="preserve"> </v>
      </c>
      <c r="FP48" s="312">
        <v>3139</v>
      </c>
      <c r="FQ48" s="286">
        <f>FK48*Wirtschaftlichkeit!$W$5/Wirtschaftlichkeit!$W$7</f>
        <v>0</v>
      </c>
      <c r="FR48" s="284">
        <f t="shared" si="51"/>
        <v>0</v>
      </c>
      <c r="FT48" s="222">
        <v>3139</v>
      </c>
      <c r="FU48" s="225" t="str">
        <f>IF($C48&gt;=Wirtschaftlichkeit!$X$8,Wirtschaftlichkeit!$X$8,IF(AND($C48&lt;=Wirtschaftlichkeit!$X$8,$C48&gt;=Wirtschaftlichkeit!$X$8*Eingabemaske!$B$18),$C48,"0"))</f>
        <v>0</v>
      </c>
      <c r="FV48" s="222">
        <v>3139</v>
      </c>
      <c r="FW48" s="224">
        <f t="shared" si="52"/>
        <v>0</v>
      </c>
      <c r="FX48" s="222">
        <v>3139</v>
      </c>
      <c r="FY48" s="226" t="str">
        <f t="shared" si="53"/>
        <v xml:space="preserve"> </v>
      </c>
      <c r="FZ48" s="312">
        <v>3139</v>
      </c>
      <c r="GA48" s="286">
        <f>FU48*Wirtschaftlichkeit!$X$5/Wirtschaftlichkeit!$X$7</f>
        <v>0</v>
      </c>
      <c r="GB48" s="284">
        <f t="shared" si="54"/>
        <v>0</v>
      </c>
      <c r="GD48" s="222">
        <v>3139</v>
      </c>
      <c r="GE48" s="225" t="str">
        <f>IF($C48&gt;=Wirtschaftlichkeit!$Y$8,Wirtschaftlichkeit!$Y$8,IF(AND($C48&lt;=Wirtschaftlichkeit!$Y$8,$C48&gt;=Wirtschaftlichkeit!$Y$8*Eingabemaske!$B$18),$C48,"0"))</f>
        <v>0</v>
      </c>
      <c r="GF48" s="222">
        <v>3139</v>
      </c>
      <c r="GG48" s="224">
        <f t="shared" si="55"/>
        <v>0</v>
      </c>
      <c r="GH48" s="222">
        <v>3139</v>
      </c>
      <c r="GI48" s="226" t="str">
        <f t="shared" si="56"/>
        <v xml:space="preserve"> </v>
      </c>
      <c r="GJ48" s="312">
        <v>3139</v>
      </c>
      <c r="GK48" s="286">
        <f>GE48*Wirtschaftlichkeit!$Y$5/Wirtschaftlichkeit!$Y$7</f>
        <v>0</v>
      </c>
      <c r="GL48" s="284">
        <f t="shared" si="57"/>
        <v>0</v>
      </c>
      <c r="GN48" s="222">
        <v>3139</v>
      </c>
      <c r="GO48" s="225" t="str">
        <f>IF($C48&gt;=Wirtschaftlichkeit!$Z$8,Wirtschaftlichkeit!$Z$8,IF(AND($C48&lt;=Wirtschaftlichkeit!$Z$8,$C48&gt;=Wirtschaftlichkeit!$Z$8*Eingabemaske!$B$18),$C48,"0"))</f>
        <v>0</v>
      </c>
      <c r="GP48" s="222">
        <v>3139</v>
      </c>
      <c r="GQ48" s="224">
        <f t="shared" si="58"/>
        <v>0</v>
      </c>
      <c r="GR48" s="222">
        <v>3139</v>
      </c>
      <c r="GS48" s="226" t="str">
        <f t="shared" si="59"/>
        <v xml:space="preserve"> </v>
      </c>
      <c r="GT48" s="312">
        <v>3139</v>
      </c>
      <c r="GU48" s="286">
        <f>GO48*Wirtschaftlichkeit!$Z$5/Wirtschaftlichkeit!$Z$7</f>
        <v>0</v>
      </c>
      <c r="GV48" s="284">
        <f t="shared" si="60"/>
        <v>0</v>
      </c>
      <c r="GW48" s="266"/>
      <c r="GX48" s="258">
        <v>3139</v>
      </c>
      <c r="GY48" s="270">
        <f>IF(Berechnung_Diagramme!$C$28=Berechnungen_Lastgang!$F$2,Berechnungen_Lastgang!G48,IF(Berechnung_Diagramme!$C$28=Berechnungen_Lastgang!$P$2,Berechnungen_Lastgang!Q48,IF(Berechnung_Diagramme!$C$28=Berechnungen_Lastgang!$Z$2,Berechnungen_Lastgang!AA48,IF(Berechnung_Diagramme!$C$28=Berechnungen_Lastgang!$AJ$2,Berechnungen_Lastgang!AK48,IF(Berechnung_Diagramme!$C$28=Berechnungen_Lastgang!$AT$2,Berechnungen_Lastgang!AU48,IF(Berechnung_Diagramme!$C$28=Berechnungen_Lastgang!$BD$2,Berechnungen_Lastgang!BE48,IF(Berechnung_Diagramme!$C$28=Berechnungen_Lastgang!$BN$2,Berechnungen_Lastgang!BO48,IF(Berechnung_Diagramme!$C$28=Berechnungen_Lastgang!$BX$2,Berechnungen_Lastgang!BY48,IF(Berechnung_Diagramme!$C$28=Berechnungen_Lastgang!$CH$2,Berechnungen_Lastgang!CI48,IF(Berechnung_Diagramme!$C$28=Berechnungen_Lastgang!$CR$2,Berechnungen_Lastgang!CS48,IF(Berechnung_Diagramme!$C$28=Berechnungen_Lastgang!$DB$2,Berechnungen_Lastgang!DC48,IF(Berechnung_Diagramme!$C$28=Berechnungen_Lastgang!$DL$2,Berechnungen_Lastgang!DM48,IF(Berechnung_Diagramme!$C$28=Berechnungen_Lastgang!$DV$2,Berechnungen_Lastgang!DW48,IF(Berechnung_Diagramme!$C$28=Berechnungen_Lastgang!$EF$2,Berechnungen_Lastgang!EG48,IF(Berechnung_Diagramme!$C$28=Berechnungen_Lastgang!$EP$2,Berechnungen_Lastgang!EQ48,IF(Berechnung_Diagramme!$C$28=Berechnungen_Lastgang!$EZ$2,Berechnungen_Lastgang!FA48,IF(Berechnung_Diagramme!$C$28=Berechnungen_Lastgang!$FJ$2,Berechnungen_Lastgang!FK48,IF(Berechnung_Diagramme!$C$28=Berechnungen_Lastgang!$FT$2,Berechnungen_Lastgang!FU48,IF(Berechnung_Diagramme!$C$28=Berechnungen_Lastgang!$GD$2,Berechnungen_Lastgang!GE48,IF(Berechnung_Diagramme!$C$28=Berechnungen_Lastgang!$GN$2,Berechnungen_Lastgang!GO48,""))))))))))))))))))))</f>
        <v>15.452549999999999</v>
      </c>
    </row>
    <row r="49" spans="2:207" ht="14.45" x14ac:dyDescent="0.3">
      <c r="B49" s="64">
        <v>3212</v>
      </c>
      <c r="C49" s="67">
        <f>C48+((C50-C48)/(B50-B48))*(B49-B48)</f>
        <v>14.986799999999999</v>
      </c>
      <c r="D49" s="66">
        <f t="shared" si="61"/>
        <v>1077.036525</v>
      </c>
      <c r="F49" s="64">
        <v>3212</v>
      </c>
      <c r="G49" s="225">
        <f>IF($C49&gt;=Wirtschaftlichkeit!$G$8,Wirtschaftlichkeit!$G$8,IF(AND($C49&lt;=Wirtschaftlichkeit!$G$8,$C49&gt;=Wirtschaftlichkeit!$G$8*Eingabemaske!$B$18),$C49,"0"))</f>
        <v>2.8333333333333335</v>
      </c>
      <c r="H49" s="64">
        <v>3212</v>
      </c>
      <c r="I49" s="66">
        <f t="shared" si="62"/>
        <v>206.83333333333334</v>
      </c>
      <c r="J49" s="64">
        <v>3212</v>
      </c>
      <c r="K49" s="71">
        <f t="shared" si="63"/>
        <v>2.8333333333333335</v>
      </c>
      <c r="L49" s="312">
        <v>3212</v>
      </c>
      <c r="M49" s="286">
        <f>G49*Wirtschaftlichkeit!$G$5/Wirtschaftlichkeit!$G$7</f>
        <v>1</v>
      </c>
      <c r="N49" s="284">
        <f t="shared" si="3"/>
        <v>73</v>
      </c>
      <c r="P49" s="222">
        <v>3212</v>
      </c>
      <c r="Q49" s="225">
        <f>IF($C49&gt;=Wirtschaftlichkeit!$H$8,Wirtschaftlichkeit!$H$8,IF(AND($C49&lt;=Wirtschaftlichkeit!$H$8,$C49&gt;=Wirtschaftlichkeit!$H$8*Eingabemaske!$B$18),$C49,"0"))</f>
        <v>5.5876288659793811</v>
      </c>
      <c r="R49" s="222">
        <v>3212</v>
      </c>
      <c r="S49" s="224">
        <f t="shared" si="4"/>
        <v>407.89690721649481</v>
      </c>
      <c r="T49" s="222">
        <v>3212</v>
      </c>
      <c r="U49" s="226">
        <f t="shared" si="5"/>
        <v>5.5876288659793811</v>
      </c>
      <c r="V49" s="312">
        <v>3212</v>
      </c>
      <c r="W49" s="286">
        <f>Q49*Wirtschaftlichkeit!$H$5/Wirtschaftlichkeit!$H$7</f>
        <v>2</v>
      </c>
      <c r="X49" s="284">
        <f t="shared" si="6"/>
        <v>146</v>
      </c>
      <c r="Z49" s="222">
        <v>3212</v>
      </c>
      <c r="AA49" s="225">
        <f>IF($C49&gt;=Wirtschaftlichkeit!$I$8,Wirtschaftlichkeit!$I$8,IF(AND($C49&lt;=Wirtschaftlichkeit!$I$8,$C49&gt;=Wirtschaftlichkeit!$I$8*Eingabemaske!$B$18),$C49,"0"))</f>
        <v>8.2471643149712612</v>
      </c>
      <c r="AB49" s="222">
        <v>3212</v>
      </c>
      <c r="AC49" s="224">
        <f t="shared" si="7"/>
        <v>602.04299499290209</v>
      </c>
      <c r="AD49" s="222">
        <v>3212</v>
      </c>
      <c r="AE49" s="226">
        <f t="shared" si="8"/>
        <v>8.2471643149712612</v>
      </c>
      <c r="AF49" s="312">
        <v>3212</v>
      </c>
      <c r="AG49" s="286">
        <f>AA49*Wirtschaftlichkeit!$I$5/Wirtschaftlichkeit!$I$7</f>
        <v>3.0000000000000004</v>
      </c>
      <c r="AH49" s="284">
        <f t="shared" si="9"/>
        <v>219.00000000000003</v>
      </c>
      <c r="AJ49" s="222">
        <v>3212</v>
      </c>
      <c r="AK49" s="225">
        <f>IF($C49&gt;=Wirtschaftlichkeit!$J$8,Wirtschaftlichkeit!$J$8,IF(AND($C49&lt;=Wirtschaftlichkeit!$J$8,$C49&gt;=Wirtschaftlichkeit!$J$8*Eingabemaske!$B$18),$C49,"0"))</f>
        <v>10.537455322965799</v>
      </c>
      <c r="AL49" s="222">
        <v>3212</v>
      </c>
      <c r="AM49" s="224">
        <f t="shared" si="10"/>
        <v>769.23423857650334</v>
      </c>
      <c r="AN49" s="222">
        <v>3212</v>
      </c>
      <c r="AO49" s="226">
        <f t="shared" si="11"/>
        <v>10.537455322965799</v>
      </c>
      <c r="AP49" s="312">
        <v>3212</v>
      </c>
      <c r="AQ49" s="286">
        <f>AK49*Wirtschaftlichkeit!$J$5/Wirtschaftlichkeit!$J$7</f>
        <v>4</v>
      </c>
      <c r="AR49" s="284">
        <f t="shared" si="12"/>
        <v>292</v>
      </c>
      <c r="AT49" s="222">
        <v>3212</v>
      </c>
      <c r="AU49" s="225">
        <f>IF($C49&gt;=Wirtschaftlichkeit!$K$8,Wirtschaftlichkeit!$K$8,IF(AND($C49&lt;=Wirtschaftlichkeit!$K$8,$C49&gt;=Wirtschaftlichkeit!$K$8*Eingabemaske!$B$18),$C49,"0"))</f>
        <v>12.739122166763016</v>
      </c>
      <c r="AV49" s="222">
        <v>3212</v>
      </c>
      <c r="AW49" s="224">
        <f t="shared" si="13"/>
        <v>929.95591817370018</v>
      </c>
      <c r="AX49" s="222">
        <v>3212</v>
      </c>
      <c r="AY49" s="226">
        <f t="shared" si="14"/>
        <v>12.739122166763016</v>
      </c>
      <c r="AZ49" s="312">
        <v>3212</v>
      </c>
      <c r="BA49" s="286">
        <f>AU49*Wirtschaftlichkeit!$K$5/Wirtschaftlichkeit!$K$7</f>
        <v>5</v>
      </c>
      <c r="BB49" s="284">
        <f t="shared" si="15"/>
        <v>365</v>
      </c>
      <c r="BD49" s="222">
        <v>3212</v>
      </c>
      <c r="BE49" s="225">
        <f>IF($C49&gt;=Wirtschaftlichkeit!$L$8,Wirtschaftlichkeit!$L$8,IF(AND($C49&lt;=Wirtschaftlichkeit!$L$8,$C49&gt;=Wirtschaftlichkeit!$L$8*Eingabemaske!$B$18),$C49,"0"))</f>
        <v>14.87189090675227</v>
      </c>
      <c r="BF49" s="222">
        <v>3212</v>
      </c>
      <c r="BG49" s="224">
        <f t="shared" si="16"/>
        <v>1072.8423430964579</v>
      </c>
      <c r="BH49" s="222">
        <v>3212</v>
      </c>
      <c r="BI49" s="226">
        <f t="shared" si="17"/>
        <v>14.87189090675227</v>
      </c>
      <c r="BJ49" s="312">
        <v>3212</v>
      </c>
      <c r="BK49" s="286">
        <f>BE49*Wirtschaftlichkeit!$L$5/Wirtschaftlichkeit!$L$7</f>
        <v>6</v>
      </c>
      <c r="BL49" s="284">
        <f t="shared" si="18"/>
        <v>432.83359856117136</v>
      </c>
      <c r="BN49" s="222">
        <v>3212</v>
      </c>
      <c r="BO49" s="225">
        <f>IF($C49&gt;=Wirtschaftlichkeit!$M$8,Wirtschaftlichkeit!$M$8,IF(AND($C49&lt;=Wirtschaftlichkeit!$M$8,$C49&gt;=Wirtschaftlichkeit!$M$8*Eingabemaske!$B$18),$C49,"0"))</f>
        <v>14.986799999999999</v>
      </c>
      <c r="BP49" s="222">
        <v>3212</v>
      </c>
      <c r="BQ49" s="224">
        <f t="shared" si="19"/>
        <v>1077.036525</v>
      </c>
      <c r="BR49" s="222">
        <v>3212</v>
      </c>
      <c r="BS49" s="226">
        <f t="shared" si="20"/>
        <v>14.986799999999999</v>
      </c>
      <c r="BT49" s="312">
        <v>3212</v>
      </c>
      <c r="BU49" s="286">
        <f>BO49*Wirtschaftlichkeit!$M$5/Wirtschaftlichkeit!$M$7</f>
        <v>6.1897863916051312</v>
      </c>
      <c r="BV49" s="284">
        <f t="shared" si="21"/>
        <v>444.83318825277439</v>
      </c>
      <c r="BX49" s="222">
        <v>3212</v>
      </c>
      <c r="BY49" s="225">
        <f>IF($C49&gt;=Wirtschaftlichkeit!$N$8,Wirtschaftlichkeit!$N$8,IF(AND($C49&lt;=Wirtschaftlichkeit!$N$8,$C49&gt;=Wirtschaftlichkeit!$N$8*Eingabemaske!$B$18),$C49,"0"))</f>
        <v>14.986799999999999</v>
      </c>
      <c r="BZ49" s="222">
        <v>3212</v>
      </c>
      <c r="CA49" s="224">
        <f t="shared" si="22"/>
        <v>1077.036525</v>
      </c>
      <c r="CB49" s="222">
        <v>3212</v>
      </c>
      <c r="CC49" s="226">
        <f t="shared" si="23"/>
        <v>14.986799999999999</v>
      </c>
      <c r="CD49" s="312">
        <v>3212</v>
      </c>
      <c r="CE49" s="286">
        <f>BY49*Wirtschaftlichkeit!$N$5/Wirtschaftlichkeit!$N$7</f>
        <v>6.3176004217176125</v>
      </c>
      <c r="CF49" s="284">
        <f t="shared" si="24"/>
        <v>454.01863003077852</v>
      </c>
      <c r="CH49" s="222">
        <v>3212</v>
      </c>
      <c r="CI49" s="225">
        <f>IF($C49&gt;=Wirtschaftlichkeit!$O$8,Wirtschaftlichkeit!$O$8,IF(AND($C49&lt;=Wirtschaftlichkeit!$O$8,$C49&gt;=Wirtschaftlichkeit!$O$8*Eingabemaske!$B$18),$C49,"0"))</f>
        <v>14.986799999999999</v>
      </c>
      <c r="CJ49" s="222">
        <v>3212</v>
      </c>
      <c r="CK49" s="224">
        <f t="shared" si="25"/>
        <v>1077.036525</v>
      </c>
      <c r="CL49" s="222">
        <v>3212</v>
      </c>
      <c r="CM49" s="226">
        <f t="shared" si="26"/>
        <v>14.986799999999999</v>
      </c>
      <c r="CN49" s="312">
        <v>3212</v>
      </c>
      <c r="CO49" s="286">
        <f>CI49*Wirtschaftlichkeit!$O$5/Wirtschaftlichkeit!$O$7</f>
        <v>6.4331941451692654</v>
      </c>
      <c r="CP49" s="284">
        <f t="shared" si="27"/>
        <v>462.32585119995269</v>
      </c>
      <c r="CR49" s="222">
        <v>3212</v>
      </c>
      <c r="CS49" s="225">
        <f>IF($C49&gt;=Wirtschaftlichkeit!$P$8,Wirtschaftlichkeit!$P$8,IF(AND($C49&lt;=Wirtschaftlichkeit!$P$8,$C49&gt;=Wirtschaftlichkeit!$P$8*Eingabemaske!$B$18),$C49,"0"))</f>
        <v>14.986799999999999</v>
      </c>
      <c r="CT49" s="222">
        <v>3212</v>
      </c>
      <c r="CU49" s="224">
        <f t="shared" si="28"/>
        <v>1077.036525</v>
      </c>
      <c r="CV49" s="222">
        <v>3212</v>
      </c>
      <c r="CW49" s="226">
        <f t="shared" si="29"/>
        <v>14.986799999999999</v>
      </c>
      <c r="CX49" s="312">
        <v>3212</v>
      </c>
      <c r="CY49" s="286">
        <f>CS49*Wirtschaftlichkeit!$P$5/Wirtschaftlichkeit!$P$7</f>
        <v>6.5389369107885384</v>
      </c>
      <c r="CZ49" s="284">
        <f t="shared" si="30"/>
        <v>469.92512661741813</v>
      </c>
      <c r="DB49" s="222">
        <v>3212</v>
      </c>
      <c r="DC49" s="225">
        <f>IF($C49&gt;=Wirtschaftlichkeit!$Q$8,Wirtschaftlichkeit!$Q$8,IF(AND($C49&lt;=Wirtschaftlichkeit!$Q$8,$C49&gt;=Wirtschaftlichkeit!$Q$8*Eingabemaske!$B$18),$C49,"0"))</f>
        <v>14.986799999999999</v>
      </c>
      <c r="DD49" s="222">
        <v>3212</v>
      </c>
      <c r="DE49" s="224">
        <f t="shared" si="31"/>
        <v>1077.036525</v>
      </c>
      <c r="DF49" s="222">
        <v>3212</v>
      </c>
      <c r="DG49" s="226">
        <f t="shared" si="32"/>
        <v>14.986799999999999</v>
      </c>
      <c r="DH49" s="312">
        <v>3212</v>
      </c>
      <c r="DI49" s="286">
        <f>DC49*Wirtschaftlichkeit!$Q$5/Wirtschaftlichkeit!$Q$7</f>
        <v>6.8619969730437846</v>
      </c>
      <c r="DJ49" s="284">
        <f t="shared" si="33"/>
        <v>493.1420566370137</v>
      </c>
      <c r="DL49" s="222">
        <v>3212</v>
      </c>
      <c r="DM49" s="225">
        <f>IF($C49&gt;=Wirtschaftlichkeit!$R$8,Wirtschaftlichkeit!$R$8,IF(AND($C49&lt;=Wirtschaftlichkeit!$R$8,$C49&gt;=Wirtschaftlichkeit!$R$8*Eingabemaske!$B$18),$C49,"0"))</f>
        <v>14.986799999999999</v>
      </c>
      <c r="DN49" s="222">
        <v>3212</v>
      </c>
      <c r="DO49" s="224">
        <f t="shared" si="34"/>
        <v>1077.036525</v>
      </c>
      <c r="DP49" s="222">
        <v>3212</v>
      </c>
      <c r="DQ49" s="226">
        <f t="shared" si="35"/>
        <v>14.986799999999999</v>
      </c>
      <c r="DR49" s="312">
        <v>3212</v>
      </c>
      <c r="DS49" s="286">
        <f>DM49*Wirtschaftlichkeit!$R$5/Wirtschaftlichkeit!$R$7</f>
        <v>6.9526064392607019</v>
      </c>
      <c r="DT49" s="284">
        <f t="shared" si="36"/>
        <v>499.65376725077863</v>
      </c>
      <c r="DV49" s="222">
        <v>3212</v>
      </c>
      <c r="DW49" s="225">
        <f>IF($C49&gt;=Wirtschaftlichkeit!$S$8,Wirtschaftlichkeit!$S$8,IF(AND($C49&lt;=Wirtschaftlichkeit!$S$8,$C49&gt;=Wirtschaftlichkeit!$S$8*Eingabemaske!$B$18),$C49,"0"))</f>
        <v>14.986799999999999</v>
      </c>
      <c r="DX49" s="222">
        <v>3212</v>
      </c>
      <c r="DY49" s="224">
        <f t="shared" si="37"/>
        <v>1077.036525</v>
      </c>
      <c r="DZ49" s="222">
        <v>3212</v>
      </c>
      <c r="EA49" s="226">
        <f t="shared" si="38"/>
        <v>14.986799999999999</v>
      </c>
      <c r="EB49" s="312">
        <v>3212</v>
      </c>
      <c r="EC49" s="286">
        <f>DW49*Wirtschaftlichkeit!$S$5/Wirtschaftlichkeit!$S$7</f>
        <v>7.0373554086850554</v>
      </c>
      <c r="ED49" s="284">
        <f t="shared" si="39"/>
        <v>505.74430929618779</v>
      </c>
      <c r="EF49" s="222">
        <v>3212</v>
      </c>
      <c r="EG49" s="225">
        <f>IF($C49&gt;=Wirtschaftlichkeit!$T$8,Wirtschaftlichkeit!$T$8,IF(AND($C49&lt;=Wirtschaftlichkeit!$T$8,$C49&gt;=Wirtschaftlichkeit!$T$8*Eingabemaske!$B$18),$C49,"0"))</f>
        <v>14.986799999999999</v>
      </c>
      <c r="EH49" s="222">
        <v>3212</v>
      </c>
      <c r="EI49" s="224">
        <f t="shared" si="40"/>
        <v>547.01819999999998</v>
      </c>
      <c r="EJ49" s="222">
        <v>3212</v>
      </c>
      <c r="EK49" s="226">
        <f t="shared" si="41"/>
        <v>14.986799999999999</v>
      </c>
      <c r="EL49" s="312">
        <v>3212</v>
      </c>
      <c r="EM49" s="286">
        <f>EG49*Wirtschaftlichkeit!$T$5/Wirtschaftlichkeit!$T$7</f>
        <v>7.1170400675594054</v>
      </c>
      <c r="EN49" s="284">
        <f t="shared" si="42"/>
        <v>259.77196246591831</v>
      </c>
      <c r="EP49" s="222">
        <v>3212</v>
      </c>
      <c r="EQ49" s="225" t="str">
        <f>IF($C49&gt;=Wirtschaftlichkeit!$U$8,Wirtschaftlichkeit!$U$8,IF(AND($C49&lt;=Wirtschaftlichkeit!$U$8,$C49&gt;=Wirtschaftlichkeit!$U$8*Eingabemaske!$B$18),$C49,"0"))</f>
        <v>0</v>
      </c>
      <c r="ER49" s="222">
        <v>3212</v>
      </c>
      <c r="ES49" s="224">
        <f t="shared" si="43"/>
        <v>0</v>
      </c>
      <c r="ET49" s="222">
        <v>3212</v>
      </c>
      <c r="EU49" s="226" t="str">
        <f t="shared" si="44"/>
        <v xml:space="preserve"> </v>
      </c>
      <c r="EV49" s="312">
        <v>3212</v>
      </c>
      <c r="EW49" s="286">
        <f>EQ49*Wirtschaftlichkeit!$U$5/Wirtschaftlichkeit!$U$7</f>
        <v>0</v>
      </c>
      <c r="EX49" s="284">
        <f t="shared" si="45"/>
        <v>0</v>
      </c>
      <c r="EZ49" s="222">
        <v>3212</v>
      </c>
      <c r="FA49" s="225" t="str">
        <f>IF($C49&gt;=Wirtschaftlichkeit!$V$8,Wirtschaftlichkeit!$V$8,IF(AND($C49&lt;=Wirtschaftlichkeit!$V$8,$C49&gt;=Wirtschaftlichkeit!$V$8*Eingabemaske!$B$18),$C49,"0"))</f>
        <v>0</v>
      </c>
      <c r="FB49" s="222">
        <v>3212</v>
      </c>
      <c r="FC49" s="224">
        <f t="shared" si="46"/>
        <v>0</v>
      </c>
      <c r="FD49" s="222">
        <v>3212</v>
      </c>
      <c r="FE49" s="226" t="str">
        <f t="shared" si="47"/>
        <v xml:space="preserve"> </v>
      </c>
      <c r="FF49" s="312">
        <v>3212</v>
      </c>
      <c r="FG49" s="286">
        <f>FA49*Wirtschaftlichkeit!$V$5/Wirtschaftlichkeit!$V$7</f>
        <v>0</v>
      </c>
      <c r="FH49" s="284">
        <f t="shared" si="48"/>
        <v>0</v>
      </c>
      <c r="FJ49" s="222">
        <v>3212</v>
      </c>
      <c r="FK49" s="225" t="str">
        <f>IF($C49&gt;=Wirtschaftlichkeit!$W$8,Wirtschaftlichkeit!$W$8,IF(AND($C49&lt;=Wirtschaftlichkeit!$W$8,$C49&gt;=Wirtschaftlichkeit!$W$8*Eingabemaske!$B$18),$C49,"0"))</f>
        <v>0</v>
      </c>
      <c r="FL49" s="222">
        <v>3212</v>
      </c>
      <c r="FM49" s="224">
        <f t="shared" si="49"/>
        <v>0</v>
      </c>
      <c r="FN49" s="222">
        <v>3212</v>
      </c>
      <c r="FO49" s="226" t="str">
        <f t="shared" si="50"/>
        <v xml:space="preserve"> </v>
      </c>
      <c r="FP49" s="312">
        <v>3212</v>
      </c>
      <c r="FQ49" s="286">
        <f>FK49*Wirtschaftlichkeit!$W$5/Wirtschaftlichkeit!$W$7</f>
        <v>0</v>
      </c>
      <c r="FR49" s="284">
        <f t="shared" si="51"/>
        <v>0</v>
      </c>
      <c r="FT49" s="222">
        <v>3212</v>
      </c>
      <c r="FU49" s="225" t="str">
        <f>IF($C49&gt;=Wirtschaftlichkeit!$X$8,Wirtschaftlichkeit!$X$8,IF(AND($C49&lt;=Wirtschaftlichkeit!$X$8,$C49&gt;=Wirtschaftlichkeit!$X$8*Eingabemaske!$B$18),$C49,"0"))</f>
        <v>0</v>
      </c>
      <c r="FV49" s="222">
        <v>3212</v>
      </c>
      <c r="FW49" s="224">
        <f t="shared" si="52"/>
        <v>0</v>
      </c>
      <c r="FX49" s="222">
        <v>3212</v>
      </c>
      <c r="FY49" s="226" t="str">
        <f t="shared" si="53"/>
        <v xml:space="preserve"> </v>
      </c>
      <c r="FZ49" s="312">
        <v>3212</v>
      </c>
      <c r="GA49" s="286">
        <f>FU49*Wirtschaftlichkeit!$X$5/Wirtschaftlichkeit!$X$7</f>
        <v>0</v>
      </c>
      <c r="GB49" s="284">
        <f t="shared" si="54"/>
        <v>0</v>
      </c>
      <c r="GD49" s="222">
        <v>3212</v>
      </c>
      <c r="GE49" s="225" t="str">
        <f>IF($C49&gt;=Wirtschaftlichkeit!$Y$8,Wirtschaftlichkeit!$Y$8,IF(AND($C49&lt;=Wirtschaftlichkeit!$Y$8,$C49&gt;=Wirtschaftlichkeit!$Y$8*Eingabemaske!$B$18),$C49,"0"))</f>
        <v>0</v>
      </c>
      <c r="GF49" s="222">
        <v>3212</v>
      </c>
      <c r="GG49" s="224">
        <f t="shared" si="55"/>
        <v>0</v>
      </c>
      <c r="GH49" s="222">
        <v>3212</v>
      </c>
      <c r="GI49" s="226" t="str">
        <f t="shared" si="56"/>
        <v xml:space="preserve"> </v>
      </c>
      <c r="GJ49" s="312">
        <v>3212</v>
      </c>
      <c r="GK49" s="286">
        <f>GE49*Wirtschaftlichkeit!$Y$5/Wirtschaftlichkeit!$Y$7</f>
        <v>0</v>
      </c>
      <c r="GL49" s="284">
        <f t="shared" si="57"/>
        <v>0</v>
      </c>
      <c r="GN49" s="222">
        <v>3212</v>
      </c>
      <c r="GO49" s="225" t="str">
        <f>IF($C49&gt;=Wirtschaftlichkeit!$Z$8,Wirtschaftlichkeit!$Z$8,IF(AND($C49&lt;=Wirtschaftlichkeit!$Z$8,$C49&gt;=Wirtschaftlichkeit!$Z$8*Eingabemaske!$B$18),$C49,"0"))</f>
        <v>0</v>
      </c>
      <c r="GP49" s="222">
        <v>3212</v>
      </c>
      <c r="GQ49" s="224">
        <f t="shared" si="58"/>
        <v>0</v>
      </c>
      <c r="GR49" s="222">
        <v>3212</v>
      </c>
      <c r="GS49" s="226" t="str">
        <f t="shared" si="59"/>
        <v xml:space="preserve"> </v>
      </c>
      <c r="GT49" s="312">
        <v>3212</v>
      </c>
      <c r="GU49" s="286">
        <f>GO49*Wirtschaftlichkeit!$Z$5/Wirtschaftlichkeit!$Z$7</f>
        <v>0</v>
      </c>
      <c r="GV49" s="284">
        <f t="shared" si="60"/>
        <v>0</v>
      </c>
      <c r="GW49" s="266"/>
      <c r="GX49" s="258">
        <v>3212</v>
      </c>
      <c r="GY49" s="270">
        <f>IF(Berechnung_Diagramme!$C$28=Berechnungen_Lastgang!$F$2,Berechnungen_Lastgang!G49,IF(Berechnung_Diagramme!$C$28=Berechnungen_Lastgang!$P$2,Berechnungen_Lastgang!Q49,IF(Berechnung_Diagramme!$C$28=Berechnungen_Lastgang!$Z$2,Berechnungen_Lastgang!AA49,IF(Berechnung_Diagramme!$C$28=Berechnungen_Lastgang!$AJ$2,Berechnungen_Lastgang!AK49,IF(Berechnung_Diagramme!$C$28=Berechnungen_Lastgang!$AT$2,Berechnungen_Lastgang!AU49,IF(Berechnung_Diagramme!$C$28=Berechnungen_Lastgang!$BD$2,Berechnungen_Lastgang!BE49,IF(Berechnung_Diagramme!$C$28=Berechnungen_Lastgang!$BN$2,Berechnungen_Lastgang!BO49,IF(Berechnung_Diagramme!$C$28=Berechnungen_Lastgang!$BX$2,Berechnungen_Lastgang!BY49,IF(Berechnung_Diagramme!$C$28=Berechnungen_Lastgang!$CH$2,Berechnungen_Lastgang!CI49,IF(Berechnung_Diagramme!$C$28=Berechnungen_Lastgang!$CR$2,Berechnungen_Lastgang!CS49,IF(Berechnung_Diagramme!$C$28=Berechnungen_Lastgang!$DB$2,Berechnungen_Lastgang!DC49,IF(Berechnung_Diagramme!$C$28=Berechnungen_Lastgang!$DL$2,Berechnungen_Lastgang!DM49,IF(Berechnung_Diagramme!$C$28=Berechnungen_Lastgang!$DV$2,Berechnungen_Lastgang!DW49,IF(Berechnung_Diagramme!$C$28=Berechnungen_Lastgang!$EF$2,Berechnungen_Lastgang!EG49,IF(Berechnung_Diagramme!$C$28=Berechnungen_Lastgang!$EP$2,Berechnungen_Lastgang!EQ49,IF(Berechnung_Diagramme!$C$28=Berechnungen_Lastgang!$EZ$2,Berechnungen_Lastgang!FA49,IF(Berechnung_Diagramme!$C$28=Berechnungen_Lastgang!$FJ$2,Berechnungen_Lastgang!FK49,IF(Berechnung_Diagramme!$C$28=Berechnungen_Lastgang!$FT$2,Berechnungen_Lastgang!FU49,IF(Berechnung_Diagramme!$C$28=Berechnungen_Lastgang!$GD$2,Berechnungen_Lastgang!GE49,IF(Berechnung_Diagramme!$C$28=Berechnungen_Lastgang!$GN$2,Berechnungen_Lastgang!GO49,""))))))))))))))))))))</f>
        <v>14.986799999999999</v>
      </c>
    </row>
    <row r="50" spans="2:207" x14ac:dyDescent="0.25">
      <c r="B50" s="64">
        <v>3285</v>
      </c>
      <c r="C50" s="67">
        <f>(C45+C55)/2</f>
        <v>14.521049999999999</v>
      </c>
      <c r="D50" s="66">
        <f t="shared" si="61"/>
        <v>1043.036775</v>
      </c>
      <c r="F50" s="64">
        <v>3285</v>
      </c>
      <c r="G50" s="225">
        <f>IF($C50&gt;=Wirtschaftlichkeit!$G$8,Wirtschaftlichkeit!$G$8,IF(AND($C50&lt;=Wirtschaftlichkeit!$G$8,$C50&gt;=Wirtschaftlichkeit!$G$8*Eingabemaske!$B$18),$C50,"0"))</f>
        <v>2.8333333333333335</v>
      </c>
      <c r="H50" s="64">
        <v>3285</v>
      </c>
      <c r="I50" s="66">
        <f t="shared" si="62"/>
        <v>206.83333333333334</v>
      </c>
      <c r="J50" s="64">
        <v>3285</v>
      </c>
      <c r="K50" s="71">
        <f t="shared" si="63"/>
        <v>2.8333333333333335</v>
      </c>
      <c r="L50" s="312">
        <v>3285</v>
      </c>
      <c r="M50" s="286">
        <f>G50*Wirtschaftlichkeit!$G$5/Wirtschaftlichkeit!$G$7</f>
        <v>1</v>
      </c>
      <c r="N50" s="284">
        <f t="shared" si="3"/>
        <v>73</v>
      </c>
      <c r="P50" s="222">
        <v>3285</v>
      </c>
      <c r="Q50" s="225">
        <f>IF($C50&gt;=Wirtschaftlichkeit!$H$8,Wirtschaftlichkeit!$H$8,IF(AND($C50&lt;=Wirtschaftlichkeit!$H$8,$C50&gt;=Wirtschaftlichkeit!$H$8*Eingabemaske!$B$18),$C50,"0"))</f>
        <v>5.5876288659793811</v>
      </c>
      <c r="R50" s="222">
        <v>3285</v>
      </c>
      <c r="S50" s="224">
        <f t="shared" si="4"/>
        <v>407.89690721649481</v>
      </c>
      <c r="T50" s="222">
        <v>3285</v>
      </c>
      <c r="U50" s="226">
        <f t="shared" si="5"/>
        <v>5.5876288659793811</v>
      </c>
      <c r="V50" s="312">
        <v>3285</v>
      </c>
      <c r="W50" s="286">
        <f>Q50*Wirtschaftlichkeit!$H$5/Wirtschaftlichkeit!$H$7</f>
        <v>2</v>
      </c>
      <c r="X50" s="284">
        <f t="shared" si="6"/>
        <v>146</v>
      </c>
      <c r="Z50" s="222">
        <v>3285</v>
      </c>
      <c r="AA50" s="225">
        <f>IF($C50&gt;=Wirtschaftlichkeit!$I$8,Wirtschaftlichkeit!$I$8,IF(AND($C50&lt;=Wirtschaftlichkeit!$I$8,$C50&gt;=Wirtschaftlichkeit!$I$8*Eingabemaske!$B$18),$C50,"0"))</f>
        <v>8.2471643149712612</v>
      </c>
      <c r="AB50" s="222">
        <v>3285</v>
      </c>
      <c r="AC50" s="224">
        <f t="shared" si="7"/>
        <v>602.04299499290209</v>
      </c>
      <c r="AD50" s="222">
        <v>3285</v>
      </c>
      <c r="AE50" s="226">
        <f t="shared" si="8"/>
        <v>8.2471643149712612</v>
      </c>
      <c r="AF50" s="312">
        <v>3285</v>
      </c>
      <c r="AG50" s="286">
        <f>AA50*Wirtschaftlichkeit!$I$5/Wirtschaftlichkeit!$I$7</f>
        <v>3.0000000000000004</v>
      </c>
      <c r="AH50" s="284">
        <f t="shared" si="9"/>
        <v>219.00000000000003</v>
      </c>
      <c r="AJ50" s="222">
        <v>3285</v>
      </c>
      <c r="AK50" s="225">
        <f>IF($C50&gt;=Wirtschaftlichkeit!$J$8,Wirtschaftlichkeit!$J$8,IF(AND($C50&lt;=Wirtschaftlichkeit!$J$8,$C50&gt;=Wirtschaftlichkeit!$J$8*Eingabemaske!$B$18),$C50,"0"))</f>
        <v>10.537455322965799</v>
      </c>
      <c r="AL50" s="222">
        <v>3285</v>
      </c>
      <c r="AM50" s="224">
        <f t="shared" si="10"/>
        <v>769.23423857650334</v>
      </c>
      <c r="AN50" s="222">
        <v>3285</v>
      </c>
      <c r="AO50" s="226">
        <f t="shared" si="11"/>
        <v>10.537455322965799</v>
      </c>
      <c r="AP50" s="312">
        <v>3285</v>
      </c>
      <c r="AQ50" s="286">
        <f>AK50*Wirtschaftlichkeit!$J$5/Wirtschaftlichkeit!$J$7</f>
        <v>4</v>
      </c>
      <c r="AR50" s="284">
        <f t="shared" si="12"/>
        <v>292</v>
      </c>
      <c r="AT50" s="222">
        <v>3285</v>
      </c>
      <c r="AU50" s="225">
        <f>IF($C50&gt;=Wirtschaftlichkeit!$K$8,Wirtschaftlichkeit!$K$8,IF(AND($C50&lt;=Wirtschaftlichkeit!$K$8,$C50&gt;=Wirtschaftlichkeit!$K$8*Eingabemaske!$B$18),$C50,"0"))</f>
        <v>12.739122166763016</v>
      </c>
      <c r="AV50" s="222">
        <v>3285</v>
      </c>
      <c r="AW50" s="224">
        <f t="shared" si="13"/>
        <v>929.95591817370018</v>
      </c>
      <c r="AX50" s="222">
        <v>3285</v>
      </c>
      <c r="AY50" s="226">
        <f t="shared" si="14"/>
        <v>12.739122166763016</v>
      </c>
      <c r="AZ50" s="312">
        <v>3285</v>
      </c>
      <c r="BA50" s="286">
        <f>AU50*Wirtschaftlichkeit!$K$5/Wirtschaftlichkeit!$K$7</f>
        <v>5</v>
      </c>
      <c r="BB50" s="284">
        <f t="shared" si="15"/>
        <v>365</v>
      </c>
      <c r="BD50" s="222">
        <v>3285</v>
      </c>
      <c r="BE50" s="225">
        <f>IF($C50&gt;=Wirtschaftlichkeit!$L$8,Wirtschaftlichkeit!$L$8,IF(AND($C50&lt;=Wirtschaftlichkeit!$L$8,$C50&gt;=Wirtschaftlichkeit!$L$8*Eingabemaske!$B$18),$C50,"0"))</f>
        <v>14.521049999999999</v>
      </c>
      <c r="BF50" s="222">
        <v>3285</v>
      </c>
      <c r="BG50" s="224">
        <f t="shared" si="16"/>
        <v>1043.036775</v>
      </c>
      <c r="BH50" s="222">
        <v>3285</v>
      </c>
      <c r="BI50" s="226">
        <f t="shared" si="17"/>
        <v>14.521049999999999</v>
      </c>
      <c r="BJ50" s="312">
        <v>3285</v>
      </c>
      <c r="BK50" s="286">
        <f>BE50*Wirtschaftlichkeit!$L$5/Wirtschaftlichkeit!$L$7</f>
        <v>5.8584547551005857</v>
      </c>
      <c r="BL50" s="284">
        <f t="shared" si="18"/>
        <v>420.80867115281126</v>
      </c>
      <c r="BN50" s="222">
        <v>3285</v>
      </c>
      <c r="BO50" s="225">
        <f>IF($C50&gt;=Wirtschaftlichkeit!$M$8,Wirtschaftlichkeit!$M$8,IF(AND($C50&lt;=Wirtschaftlichkeit!$M$8,$C50&gt;=Wirtschaftlichkeit!$M$8*Eingabemaske!$B$18),$C50,"0"))</f>
        <v>14.521049999999999</v>
      </c>
      <c r="BP50" s="222">
        <v>3285</v>
      </c>
      <c r="BQ50" s="224">
        <f t="shared" si="19"/>
        <v>1043.036775</v>
      </c>
      <c r="BR50" s="222">
        <v>3285</v>
      </c>
      <c r="BS50" s="226">
        <f t="shared" si="20"/>
        <v>14.521049999999999</v>
      </c>
      <c r="BT50" s="312">
        <v>3285</v>
      </c>
      <c r="BU50" s="286">
        <f>BO50*Wirtschaftlichkeit!$M$5/Wirtschaftlichkeit!$M$7</f>
        <v>5.9974242454571813</v>
      </c>
      <c r="BV50" s="284">
        <f t="shared" si="21"/>
        <v>430.79075158397416</v>
      </c>
      <c r="BX50" s="222">
        <v>3285</v>
      </c>
      <c r="BY50" s="225">
        <f>IF($C50&gt;=Wirtschaftlichkeit!$N$8,Wirtschaftlichkeit!$N$8,IF(AND($C50&lt;=Wirtschaftlichkeit!$N$8,$C50&gt;=Wirtschaftlichkeit!$N$8*Eingabemaske!$B$18),$C50,"0"))</f>
        <v>14.521049999999999</v>
      </c>
      <c r="BZ50" s="222">
        <v>3285</v>
      </c>
      <c r="CA50" s="224">
        <f t="shared" si="22"/>
        <v>1043.036775</v>
      </c>
      <c r="CB50" s="222">
        <v>3285</v>
      </c>
      <c r="CC50" s="226">
        <f t="shared" si="23"/>
        <v>14.521049999999999</v>
      </c>
      <c r="CD50" s="312">
        <v>3285</v>
      </c>
      <c r="CE50" s="286">
        <f>BY50*Wirtschaftlichkeit!$N$5/Wirtschaftlichkeit!$N$7</f>
        <v>6.1212661544681009</v>
      </c>
      <c r="CF50" s="284">
        <f t="shared" si="24"/>
        <v>439.6862285215642</v>
      </c>
      <c r="CH50" s="222">
        <v>3285</v>
      </c>
      <c r="CI50" s="225">
        <f>IF($C50&gt;=Wirtschaftlichkeit!$O$8,Wirtschaftlichkeit!$O$8,IF(AND($C50&lt;=Wirtschaftlichkeit!$O$8,$C50&gt;=Wirtschaftlichkeit!$O$8*Eingabemaske!$B$18),$C50,"0"))</f>
        <v>14.521049999999999</v>
      </c>
      <c r="CJ50" s="222">
        <v>3285</v>
      </c>
      <c r="CK50" s="224">
        <f t="shared" si="25"/>
        <v>1043.036775</v>
      </c>
      <c r="CL50" s="222">
        <v>3285</v>
      </c>
      <c r="CM50" s="226">
        <f t="shared" si="26"/>
        <v>14.521049999999999</v>
      </c>
      <c r="CN50" s="312">
        <v>3285</v>
      </c>
      <c r="CO50" s="286">
        <f>CI50*Wirtschaftlichkeit!$O$5/Wirtschaftlichkeit!$O$7</f>
        <v>6.2332675315417667</v>
      </c>
      <c r="CP50" s="284">
        <f t="shared" si="27"/>
        <v>447.73120840514531</v>
      </c>
      <c r="CR50" s="222">
        <v>3285</v>
      </c>
      <c r="CS50" s="225">
        <f>IF($C50&gt;=Wirtschaftlichkeit!$P$8,Wirtschaftlichkeit!$P$8,IF(AND($C50&lt;=Wirtschaftlichkeit!$P$8,$C50&gt;=Wirtschaftlichkeit!$P$8*Eingabemaske!$B$18),$C50,"0"))</f>
        <v>14.521049999999999</v>
      </c>
      <c r="CT50" s="222">
        <v>3285</v>
      </c>
      <c r="CU50" s="224">
        <f t="shared" si="28"/>
        <v>1043.036775</v>
      </c>
      <c r="CV50" s="222">
        <v>3285</v>
      </c>
      <c r="CW50" s="226">
        <f t="shared" si="29"/>
        <v>14.521049999999999</v>
      </c>
      <c r="CX50" s="312">
        <v>3285</v>
      </c>
      <c r="CY50" s="286">
        <f>CS50*Wirtschaftlichkeit!$P$5/Wirtschaftlichkeit!$P$7</f>
        <v>6.3357240924283982</v>
      </c>
      <c r="CZ50" s="284">
        <f t="shared" si="30"/>
        <v>455.09059087712785</v>
      </c>
      <c r="DB50" s="222">
        <v>3285</v>
      </c>
      <c r="DC50" s="225">
        <f>IF($C50&gt;=Wirtschaftlichkeit!$Q$8,Wirtschaftlichkeit!$Q$8,IF(AND($C50&lt;=Wirtschaftlichkeit!$Q$8,$C50&gt;=Wirtschaftlichkeit!$Q$8*Eingabemaske!$B$18),$C50,"0"))</f>
        <v>14.521049999999999</v>
      </c>
      <c r="DD50" s="222">
        <v>3285</v>
      </c>
      <c r="DE50" s="224">
        <f t="shared" si="31"/>
        <v>1043.036775</v>
      </c>
      <c r="DF50" s="222">
        <v>3285</v>
      </c>
      <c r="DG50" s="226">
        <f t="shared" si="32"/>
        <v>14.521049999999999</v>
      </c>
      <c r="DH50" s="312">
        <v>3285</v>
      </c>
      <c r="DI50" s="286">
        <f>DC50*Wirtschaftlichkeit!$Q$5/Wirtschaftlichkeit!$Q$7</f>
        <v>6.6487443046826176</v>
      </c>
      <c r="DJ50" s="284">
        <f t="shared" si="33"/>
        <v>477.57461184664845</v>
      </c>
      <c r="DL50" s="222">
        <v>3285</v>
      </c>
      <c r="DM50" s="225">
        <f>IF($C50&gt;=Wirtschaftlichkeit!$R$8,Wirtschaftlichkeit!$R$8,IF(AND($C50&lt;=Wirtschaftlichkeit!$R$8,$C50&gt;=Wirtschaftlichkeit!$R$8*Eingabemaske!$B$18),$C50,"0"))</f>
        <v>14.521049999999999</v>
      </c>
      <c r="DN50" s="222">
        <v>3285</v>
      </c>
      <c r="DO50" s="224">
        <f t="shared" si="34"/>
        <v>1043.036775</v>
      </c>
      <c r="DP50" s="222">
        <v>3285</v>
      </c>
      <c r="DQ50" s="226">
        <f t="shared" si="35"/>
        <v>14.521049999999999</v>
      </c>
      <c r="DR50" s="312">
        <v>3285</v>
      </c>
      <c r="DS50" s="286">
        <f>DM50*Wirtschaftlichkeit!$R$5/Wirtschaftlichkeit!$R$7</f>
        <v>6.7365378689798101</v>
      </c>
      <c r="DT50" s="284">
        <f t="shared" si="36"/>
        <v>483.88076162027357</v>
      </c>
      <c r="DV50" s="222">
        <v>3285</v>
      </c>
      <c r="DW50" s="225">
        <f>IF($C50&gt;=Wirtschaftlichkeit!$S$8,Wirtschaftlichkeit!$S$8,IF(AND($C50&lt;=Wirtschaftlichkeit!$S$8,$C50&gt;=Wirtschaftlichkeit!$S$8*Eingabemaske!$B$18),$C50,"0"))</f>
        <v>14.521049999999999</v>
      </c>
      <c r="DX50" s="222">
        <v>3285</v>
      </c>
      <c r="DY50" s="224">
        <f t="shared" si="37"/>
        <v>1043.036775</v>
      </c>
      <c r="DZ50" s="222">
        <v>3285</v>
      </c>
      <c r="EA50" s="226">
        <f t="shared" si="38"/>
        <v>14.521049999999999</v>
      </c>
      <c r="EB50" s="312">
        <v>3285</v>
      </c>
      <c r="EC50" s="286">
        <f>DW50*Wirtschaftlichkeit!$S$5/Wirtschaftlichkeit!$S$7</f>
        <v>6.8186530651831037</v>
      </c>
      <c r="ED50" s="284">
        <f t="shared" si="39"/>
        <v>489.7790382205452</v>
      </c>
      <c r="EF50" s="222">
        <v>3285</v>
      </c>
      <c r="EG50" s="225" t="str">
        <f>IF($C50&gt;=Wirtschaftlichkeit!$T$8,Wirtschaftlichkeit!$T$8,IF(AND($C50&lt;=Wirtschaftlichkeit!$T$8,$C50&gt;=Wirtschaftlichkeit!$T$8*Eingabemaske!$B$18),$C50,"0"))</f>
        <v>0</v>
      </c>
      <c r="EH50" s="222">
        <v>3285</v>
      </c>
      <c r="EI50" s="224">
        <f t="shared" si="40"/>
        <v>0</v>
      </c>
      <c r="EJ50" s="222">
        <v>3285</v>
      </c>
      <c r="EK50" s="226" t="str">
        <f t="shared" si="41"/>
        <v xml:space="preserve"> </v>
      </c>
      <c r="EL50" s="312">
        <v>3285</v>
      </c>
      <c r="EM50" s="286">
        <f>EG50*Wirtschaftlichkeit!$T$5/Wirtschaftlichkeit!$T$7</f>
        <v>0</v>
      </c>
      <c r="EN50" s="284">
        <f t="shared" si="42"/>
        <v>0</v>
      </c>
      <c r="EP50" s="222">
        <v>3285</v>
      </c>
      <c r="EQ50" s="225" t="str">
        <f>IF($C50&gt;=Wirtschaftlichkeit!$U$8,Wirtschaftlichkeit!$U$8,IF(AND($C50&lt;=Wirtschaftlichkeit!$U$8,$C50&gt;=Wirtschaftlichkeit!$U$8*Eingabemaske!$B$18),$C50,"0"))</f>
        <v>0</v>
      </c>
      <c r="ER50" s="222">
        <v>3285</v>
      </c>
      <c r="ES50" s="224">
        <f t="shared" si="43"/>
        <v>0</v>
      </c>
      <c r="ET50" s="222">
        <v>3285</v>
      </c>
      <c r="EU50" s="226" t="str">
        <f t="shared" si="44"/>
        <v xml:space="preserve"> </v>
      </c>
      <c r="EV50" s="312">
        <v>3285</v>
      </c>
      <c r="EW50" s="286">
        <f>EQ50*Wirtschaftlichkeit!$U$5/Wirtschaftlichkeit!$U$7</f>
        <v>0</v>
      </c>
      <c r="EX50" s="284">
        <f t="shared" si="45"/>
        <v>0</v>
      </c>
      <c r="EZ50" s="222">
        <v>3285</v>
      </c>
      <c r="FA50" s="225" t="str">
        <f>IF($C50&gt;=Wirtschaftlichkeit!$V$8,Wirtschaftlichkeit!$V$8,IF(AND($C50&lt;=Wirtschaftlichkeit!$V$8,$C50&gt;=Wirtschaftlichkeit!$V$8*Eingabemaske!$B$18),$C50,"0"))</f>
        <v>0</v>
      </c>
      <c r="FB50" s="222">
        <v>3285</v>
      </c>
      <c r="FC50" s="224">
        <f t="shared" si="46"/>
        <v>0</v>
      </c>
      <c r="FD50" s="222">
        <v>3285</v>
      </c>
      <c r="FE50" s="226" t="str">
        <f t="shared" si="47"/>
        <v xml:space="preserve"> </v>
      </c>
      <c r="FF50" s="312">
        <v>3285</v>
      </c>
      <c r="FG50" s="286">
        <f>FA50*Wirtschaftlichkeit!$V$5/Wirtschaftlichkeit!$V$7</f>
        <v>0</v>
      </c>
      <c r="FH50" s="284">
        <f t="shared" si="48"/>
        <v>0</v>
      </c>
      <c r="FJ50" s="222">
        <v>3285</v>
      </c>
      <c r="FK50" s="225" t="str">
        <f>IF($C50&gt;=Wirtschaftlichkeit!$W$8,Wirtschaftlichkeit!$W$8,IF(AND($C50&lt;=Wirtschaftlichkeit!$W$8,$C50&gt;=Wirtschaftlichkeit!$W$8*Eingabemaske!$B$18),$C50,"0"))</f>
        <v>0</v>
      </c>
      <c r="FL50" s="222">
        <v>3285</v>
      </c>
      <c r="FM50" s="224">
        <f t="shared" si="49"/>
        <v>0</v>
      </c>
      <c r="FN50" s="222">
        <v>3285</v>
      </c>
      <c r="FO50" s="226" t="str">
        <f t="shared" si="50"/>
        <v xml:space="preserve"> </v>
      </c>
      <c r="FP50" s="312">
        <v>3285</v>
      </c>
      <c r="FQ50" s="286">
        <f>FK50*Wirtschaftlichkeit!$W$5/Wirtschaftlichkeit!$W$7</f>
        <v>0</v>
      </c>
      <c r="FR50" s="284">
        <f t="shared" si="51"/>
        <v>0</v>
      </c>
      <c r="FT50" s="222">
        <v>3285</v>
      </c>
      <c r="FU50" s="225" t="str">
        <f>IF($C50&gt;=Wirtschaftlichkeit!$X$8,Wirtschaftlichkeit!$X$8,IF(AND($C50&lt;=Wirtschaftlichkeit!$X$8,$C50&gt;=Wirtschaftlichkeit!$X$8*Eingabemaske!$B$18),$C50,"0"))</f>
        <v>0</v>
      </c>
      <c r="FV50" s="222">
        <v>3285</v>
      </c>
      <c r="FW50" s="224">
        <f t="shared" si="52"/>
        <v>0</v>
      </c>
      <c r="FX50" s="222">
        <v>3285</v>
      </c>
      <c r="FY50" s="226" t="str">
        <f t="shared" si="53"/>
        <v xml:space="preserve"> </v>
      </c>
      <c r="FZ50" s="312">
        <v>3285</v>
      </c>
      <c r="GA50" s="286">
        <f>FU50*Wirtschaftlichkeit!$X$5/Wirtschaftlichkeit!$X$7</f>
        <v>0</v>
      </c>
      <c r="GB50" s="284">
        <f t="shared" si="54"/>
        <v>0</v>
      </c>
      <c r="GD50" s="222">
        <v>3285</v>
      </c>
      <c r="GE50" s="225" t="str">
        <f>IF($C50&gt;=Wirtschaftlichkeit!$Y$8,Wirtschaftlichkeit!$Y$8,IF(AND($C50&lt;=Wirtschaftlichkeit!$Y$8,$C50&gt;=Wirtschaftlichkeit!$Y$8*Eingabemaske!$B$18),$C50,"0"))</f>
        <v>0</v>
      </c>
      <c r="GF50" s="222">
        <v>3285</v>
      </c>
      <c r="GG50" s="224">
        <f t="shared" si="55"/>
        <v>0</v>
      </c>
      <c r="GH50" s="222">
        <v>3285</v>
      </c>
      <c r="GI50" s="226" t="str">
        <f t="shared" si="56"/>
        <v xml:space="preserve"> </v>
      </c>
      <c r="GJ50" s="312">
        <v>3285</v>
      </c>
      <c r="GK50" s="286">
        <f>GE50*Wirtschaftlichkeit!$Y$5/Wirtschaftlichkeit!$Y$7</f>
        <v>0</v>
      </c>
      <c r="GL50" s="284">
        <f t="shared" si="57"/>
        <v>0</v>
      </c>
      <c r="GN50" s="222">
        <v>3285</v>
      </c>
      <c r="GO50" s="225" t="str">
        <f>IF($C50&gt;=Wirtschaftlichkeit!$Z$8,Wirtschaftlichkeit!$Z$8,IF(AND($C50&lt;=Wirtschaftlichkeit!$Z$8,$C50&gt;=Wirtschaftlichkeit!$Z$8*Eingabemaske!$B$18),$C50,"0"))</f>
        <v>0</v>
      </c>
      <c r="GP50" s="222">
        <v>3285</v>
      </c>
      <c r="GQ50" s="224">
        <f t="shared" si="58"/>
        <v>0</v>
      </c>
      <c r="GR50" s="222">
        <v>3285</v>
      </c>
      <c r="GS50" s="226" t="str">
        <f t="shared" si="59"/>
        <v xml:space="preserve"> </v>
      </c>
      <c r="GT50" s="312">
        <v>3285</v>
      </c>
      <c r="GU50" s="286">
        <f>GO50*Wirtschaftlichkeit!$Z$5/Wirtschaftlichkeit!$Z$7</f>
        <v>0</v>
      </c>
      <c r="GV50" s="284">
        <f t="shared" si="60"/>
        <v>0</v>
      </c>
      <c r="GW50" s="266"/>
      <c r="GX50" s="258">
        <v>3285</v>
      </c>
      <c r="GY50" s="270">
        <f>IF(Berechnung_Diagramme!$C$28=Berechnungen_Lastgang!$F$2,Berechnungen_Lastgang!G50,IF(Berechnung_Diagramme!$C$28=Berechnungen_Lastgang!$P$2,Berechnungen_Lastgang!Q50,IF(Berechnung_Diagramme!$C$28=Berechnungen_Lastgang!$Z$2,Berechnungen_Lastgang!AA50,IF(Berechnung_Diagramme!$C$28=Berechnungen_Lastgang!$AJ$2,Berechnungen_Lastgang!AK50,IF(Berechnung_Diagramme!$C$28=Berechnungen_Lastgang!$AT$2,Berechnungen_Lastgang!AU50,IF(Berechnung_Diagramme!$C$28=Berechnungen_Lastgang!$BD$2,Berechnungen_Lastgang!BE50,IF(Berechnung_Diagramme!$C$28=Berechnungen_Lastgang!$BN$2,Berechnungen_Lastgang!BO50,IF(Berechnung_Diagramme!$C$28=Berechnungen_Lastgang!$BX$2,Berechnungen_Lastgang!BY50,IF(Berechnung_Diagramme!$C$28=Berechnungen_Lastgang!$CH$2,Berechnungen_Lastgang!CI50,IF(Berechnung_Diagramme!$C$28=Berechnungen_Lastgang!$CR$2,Berechnungen_Lastgang!CS50,IF(Berechnung_Diagramme!$C$28=Berechnungen_Lastgang!$DB$2,Berechnungen_Lastgang!DC50,IF(Berechnung_Diagramme!$C$28=Berechnungen_Lastgang!$DL$2,Berechnungen_Lastgang!DM50,IF(Berechnung_Diagramme!$C$28=Berechnungen_Lastgang!$DV$2,Berechnungen_Lastgang!DW50,IF(Berechnung_Diagramme!$C$28=Berechnungen_Lastgang!$EF$2,Berechnungen_Lastgang!EG50,IF(Berechnung_Diagramme!$C$28=Berechnungen_Lastgang!$EP$2,Berechnungen_Lastgang!EQ50,IF(Berechnung_Diagramme!$C$28=Berechnungen_Lastgang!$EZ$2,Berechnungen_Lastgang!FA50,IF(Berechnung_Diagramme!$C$28=Berechnungen_Lastgang!$FJ$2,Berechnungen_Lastgang!FK50,IF(Berechnung_Diagramme!$C$28=Berechnungen_Lastgang!$FT$2,Berechnungen_Lastgang!FU50,IF(Berechnung_Diagramme!$C$28=Berechnungen_Lastgang!$GD$2,Berechnungen_Lastgang!GE50,IF(Berechnung_Diagramme!$C$28=Berechnungen_Lastgang!$GN$2,Berechnungen_Lastgang!GO50,""))))))))))))))))))))</f>
        <v>14.521049999999999</v>
      </c>
    </row>
    <row r="51" spans="2:207" x14ac:dyDescent="0.25">
      <c r="B51" s="64">
        <v>3358</v>
      </c>
      <c r="C51" s="67">
        <f>C50+((C55-C50)/(B55-B50))*(B51-B50)</f>
        <v>14.055299999999999</v>
      </c>
      <c r="D51" s="66">
        <f t="shared" si="61"/>
        <v>1009.037025</v>
      </c>
      <c r="F51" s="64">
        <v>3358</v>
      </c>
      <c r="G51" s="225">
        <f>IF($C51&gt;=Wirtschaftlichkeit!$G$8,Wirtschaftlichkeit!$G$8,IF(AND($C51&lt;=Wirtschaftlichkeit!$G$8,$C51&gt;=Wirtschaftlichkeit!$G$8*Eingabemaske!$B$18),$C51,"0"))</f>
        <v>2.8333333333333335</v>
      </c>
      <c r="H51" s="64">
        <v>3358</v>
      </c>
      <c r="I51" s="66">
        <f t="shared" si="62"/>
        <v>206.83333333333334</v>
      </c>
      <c r="J51" s="64">
        <v>3358</v>
      </c>
      <c r="K51" s="71">
        <f t="shared" si="63"/>
        <v>2.8333333333333335</v>
      </c>
      <c r="L51" s="312">
        <v>3358</v>
      </c>
      <c r="M51" s="286">
        <f>G51*Wirtschaftlichkeit!$G$5/Wirtschaftlichkeit!$G$7</f>
        <v>1</v>
      </c>
      <c r="N51" s="284">
        <f t="shared" si="3"/>
        <v>73</v>
      </c>
      <c r="P51" s="222">
        <v>3358</v>
      </c>
      <c r="Q51" s="225">
        <f>IF($C51&gt;=Wirtschaftlichkeit!$H$8,Wirtschaftlichkeit!$H$8,IF(AND($C51&lt;=Wirtschaftlichkeit!$H$8,$C51&gt;=Wirtschaftlichkeit!$H$8*Eingabemaske!$B$18),$C51,"0"))</f>
        <v>5.5876288659793811</v>
      </c>
      <c r="R51" s="222">
        <v>3358</v>
      </c>
      <c r="S51" s="224">
        <f t="shared" si="4"/>
        <v>407.89690721649481</v>
      </c>
      <c r="T51" s="222">
        <v>3358</v>
      </c>
      <c r="U51" s="226">
        <f t="shared" si="5"/>
        <v>5.5876288659793811</v>
      </c>
      <c r="V51" s="312">
        <v>3358</v>
      </c>
      <c r="W51" s="286">
        <f>Q51*Wirtschaftlichkeit!$H$5/Wirtschaftlichkeit!$H$7</f>
        <v>2</v>
      </c>
      <c r="X51" s="284">
        <f t="shared" si="6"/>
        <v>146</v>
      </c>
      <c r="Z51" s="222">
        <v>3358</v>
      </c>
      <c r="AA51" s="225">
        <f>IF($C51&gt;=Wirtschaftlichkeit!$I$8,Wirtschaftlichkeit!$I$8,IF(AND($C51&lt;=Wirtschaftlichkeit!$I$8,$C51&gt;=Wirtschaftlichkeit!$I$8*Eingabemaske!$B$18),$C51,"0"))</f>
        <v>8.2471643149712612</v>
      </c>
      <c r="AB51" s="222">
        <v>3358</v>
      </c>
      <c r="AC51" s="224">
        <f t="shared" si="7"/>
        <v>602.04299499290209</v>
      </c>
      <c r="AD51" s="222">
        <v>3358</v>
      </c>
      <c r="AE51" s="226">
        <f t="shared" si="8"/>
        <v>8.2471643149712612</v>
      </c>
      <c r="AF51" s="312">
        <v>3358</v>
      </c>
      <c r="AG51" s="286">
        <f>AA51*Wirtschaftlichkeit!$I$5/Wirtschaftlichkeit!$I$7</f>
        <v>3.0000000000000004</v>
      </c>
      <c r="AH51" s="284">
        <f t="shared" si="9"/>
        <v>219.00000000000003</v>
      </c>
      <c r="AJ51" s="222">
        <v>3358</v>
      </c>
      <c r="AK51" s="225">
        <f>IF($C51&gt;=Wirtschaftlichkeit!$J$8,Wirtschaftlichkeit!$J$8,IF(AND($C51&lt;=Wirtschaftlichkeit!$J$8,$C51&gt;=Wirtschaftlichkeit!$J$8*Eingabemaske!$B$18),$C51,"0"))</f>
        <v>10.537455322965799</v>
      </c>
      <c r="AL51" s="222">
        <v>3358</v>
      </c>
      <c r="AM51" s="224">
        <f t="shared" si="10"/>
        <v>769.23423857650334</v>
      </c>
      <c r="AN51" s="222">
        <v>3358</v>
      </c>
      <c r="AO51" s="226">
        <f t="shared" si="11"/>
        <v>10.537455322965799</v>
      </c>
      <c r="AP51" s="312">
        <v>3358</v>
      </c>
      <c r="AQ51" s="286">
        <f>AK51*Wirtschaftlichkeit!$J$5/Wirtschaftlichkeit!$J$7</f>
        <v>4</v>
      </c>
      <c r="AR51" s="284">
        <f t="shared" si="12"/>
        <v>292</v>
      </c>
      <c r="AT51" s="222">
        <v>3358</v>
      </c>
      <c r="AU51" s="225">
        <f>IF($C51&gt;=Wirtschaftlichkeit!$K$8,Wirtschaftlichkeit!$K$8,IF(AND($C51&lt;=Wirtschaftlichkeit!$K$8,$C51&gt;=Wirtschaftlichkeit!$K$8*Eingabemaske!$B$18),$C51,"0"))</f>
        <v>12.739122166763016</v>
      </c>
      <c r="AV51" s="222">
        <v>3358</v>
      </c>
      <c r="AW51" s="224">
        <f t="shared" si="13"/>
        <v>929.95591817370018</v>
      </c>
      <c r="AX51" s="222">
        <v>3358</v>
      </c>
      <c r="AY51" s="226">
        <f t="shared" si="14"/>
        <v>12.739122166763016</v>
      </c>
      <c r="AZ51" s="312">
        <v>3358</v>
      </c>
      <c r="BA51" s="286">
        <f>AU51*Wirtschaftlichkeit!$K$5/Wirtschaftlichkeit!$K$7</f>
        <v>5</v>
      </c>
      <c r="BB51" s="284">
        <f t="shared" si="15"/>
        <v>365</v>
      </c>
      <c r="BD51" s="222">
        <v>3358</v>
      </c>
      <c r="BE51" s="225">
        <f>IF($C51&gt;=Wirtschaftlichkeit!$L$8,Wirtschaftlichkeit!$L$8,IF(AND($C51&lt;=Wirtschaftlichkeit!$L$8,$C51&gt;=Wirtschaftlichkeit!$L$8*Eingabemaske!$B$18),$C51,"0"))</f>
        <v>14.055299999999999</v>
      </c>
      <c r="BF51" s="222">
        <v>3358</v>
      </c>
      <c r="BG51" s="224">
        <f t="shared" si="16"/>
        <v>1009.037025</v>
      </c>
      <c r="BH51" s="222">
        <v>3358</v>
      </c>
      <c r="BI51" s="226">
        <f t="shared" si="17"/>
        <v>14.055299999999999</v>
      </c>
      <c r="BJ51" s="312">
        <v>3358</v>
      </c>
      <c r="BK51" s="286">
        <f>BE51*Wirtschaftlichkeit!$L$5/Wirtschaftlichkeit!$L$7</f>
        <v>5.6705499340175303</v>
      </c>
      <c r="BL51" s="284">
        <f t="shared" si="18"/>
        <v>407.09161921374823</v>
      </c>
      <c r="BN51" s="222">
        <v>3358</v>
      </c>
      <c r="BO51" s="225">
        <f>IF($C51&gt;=Wirtschaftlichkeit!$M$8,Wirtschaftlichkeit!$M$8,IF(AND($C51&lt;=Wirtschaftlichkeit!$M$8,$C51&gt;=Wirtschaftlichkeit!$M$8*Eingabemaske!$B$18),$C51,"0"))</f>
        <v>14.055299999999999</v>
      </c>
      <c r="BP51" s="222">
        <v>3358</v>
      </c>
      <c r="BQ51" s="224">
        <f t="shared" si="19"/>
        <v>1009.037025</v>
      </c>
      <c r="BR51" s="222">
        <v>3358</v>
      </c>
      <c r="BS51" s="226">
        <f t="shared" si="20"/>
        <v>14.055299999999999</v>
      </c>
      <c r="BT51" s="312">
        <v>3358</v>
      </c>
      <c r="BU51" s="286">
        <f>BO51*Wirtschaftlichkeit!$M$5/Wirtschaftlichkeit!$M$7</f>
        <v>5.8050620993092323</v>
      </c>
      <c r="BV51" s="284">
        <f t="shared" si="21"/>
        <v>416.74831491517381</v>
      </c>
      <c r="BX51" s="222">
        <v>3358</v>
      </c>
      <c r="BY51" s="225">
        <f>IF($C51&gt;=Wirtschaftlichkeit!$N$8,Wirtschaftlichkeit!$N$8,IF(AND($C51&lt;=Wirtschaftlichkeit!$N$8,$C51&gt;=Wirtschaftlichkeit!$N$8*Eingabemaske!$B$18),$C51,"0"))</f>
        <v>14.055299999999999</v>
      </c>
      <c r="BZ51" s="222">
        <v>3358</v>
      </c>
      <c r="CA51" s="224">
        <f t="shared" si="22"/>
        <v>1009.037025</v>
      </c>
      <c r="CB51" s="222">
        <v>3358</v>
      </c>
      <c r="CC51" s="226">
        <f t="shared" si="23"/>
        <v>14.055299999999999</v>
      </c>
      <c r="CD51" s="312">
        <v>3358</v>
      </c>
      <c r="CE51" s="286">
        <f>BY51*Wirtschaftlichkeit!$N$5/Wirtschaftlichkeit!$N$7</f>
        <v>5.9249318872185892</v>
      </c>
      <c r="CF51" s="284">
        <f t="shared" si="24"/>
        <v>425.35382701234983</v>
      </c>
      <c r="CH51" s="222">
        <v>3358</v>
      </c>
      <c r="CI51" s="225">
        <f>IF($C51&gt;=Wirtschaftlichkeit!$O$8,Wirtschaftlichkeit!$O$8,IF(AND($C51&lt;=Wirtschaftlichkeit!$O$8,$C51&gt;=Wirtschaftlichkeit!$O$8*Eingabemaske!$B$18),$C51,"0"))</f>
        <v>14.055299999999999</v>
      </c>
      <c r="CJ51" s="222">
        <v>3358</v>
      </c>
      <c r="CK51" s="224">
        <f t="shared" si="25"/>
        <v>1009.037025</v>
      </c>
      <c r="CL51" s="222">
        <v>3358</v>
      </c>
      <c r="CM51" s="226">
        <f t="shared" si="26"/>
        <v>14.055299999999999</v>
      </c>
      <c r="CN51" s="312">
        <v>3358</v>
      </c>
      <c r="CO51" s="286">
        <f>CI51*Wirtschaftlichkeit!$O$5/Wirtschaftlichkeit!$O$7</f>
        <v>6.033340917914269</v>
      </c>
      <c r="CP51" s="284">
        <f t="shared" si="27"/>
        <v>433.13656561033793</v>
      </c>
      <c r="CR51" s="222">
        <v>3358</v>
      </c>
      <c r="CS51" s="225">
        <f>IF($C51&gt;=Wirtschaftlichkeit!$P$8,Wirtschaftlichkeit!$P$8,IF(AND($C51&lt;=Wirtschaftlichkeit!$P$8,$C51&gt;=Wirtschaftlichkeit!$P$8*Eingabemaske!$B$18),$C51,"0"))</f>
        <v>14.055299999999999</v>
      </c>
      <c r="CT51" s="222">
        <v>3358</v>
      </c>
      <c r="CU51" s="224">
        <f t="shared" si="28"/>
        <v>1009.037025</v>
      </c>
      <c r="CV51" s="222">
        <v>3358</v>
      </c>
      <c r="CW51" s="226">
        <f t="shared" si="29"/>
        <v>14.055299999999999</v>
      </c>
      <c r="CX51" s="312">
        <v>3358</v>
      </c>
      <c r="CY51" s="286">
        <f>CS51*Wirtschaftlichkeit!$P$5/Wirtschaftlichkeit!$P$7</f>
        <v>6.1325112740682561</v>
      </c>
      <c r="CZ51" s="284">
        <f t="shared" si="30"/>
        <v>440.25605513683752</v>
      </c>
      <c r="DB51" s="222">
        <v>3358</v>
      </c>
      <c r="DC51" s="225">
        <f>IF($C51&gt;=Wirtschaftlichkeit!$Q$8,Wirtschaftlichkeit!$Q$8,IF(AND($C51&lt;=Wirtschaftlichkeit!$Q$8,$C51&gt;=Wirtschaftlichkeit!$Q$8*Eingabemaske!$B$18),$C51,"0"))</f>
        <v>14.055299999999999</v>
      </c>
      <c r="DD51" s="222">
        <v>3358</v>
      </c>
      <c r="DE51" s="224">
        <f t="shared" si="31"/>
        <v>1009.037025</v>
      </c>
      <c r="DF51" s="222">
        <v>3358</v>
      </c>
      <c r="DG51" s="226">
        <f t="shared" si="32"/>
        <v>14.055299999999999</v>
      </c>
      <c r="DH51" s="312">
        <v>3358</v>
      </c>
      <c r="DI51" s="286">
        <f>DC51*Wirtschaftlichkeit!$Q$5/Wirtschaftlichkeit!$Q$7</f>
        <v>6.4354916363214505</v>
      </c>
      <c r="DJ51" s="284">
        <f t="shared" si="33"/>
        <v>462.00716705628332</v>
      </c>
      <c r="DL51" s="222">
        <v>3358</v>
      </c>
      <c r="DM51" s="225">
        <f>IF($C51&gt;=Wirtschaftlichkeit!$R$8,Wirtschaftlichkeit!$R$8,IF(AND($C51&lt;=Wirtschaftlichkeit!$R$8,$C51&gt;=Wirtschaftlichkeit!$R$8*Eingabemaske!$B$18),$C51,"0"))</f>
        <v>14.055299999999999</v>
      </c>
      <c r="DN51" s="222">
        <v>3358</v>
      </c>
      <c r="DO51" s="224">
        <f t="shared" si="34"/>
        <v>1009.037025</v>
      </c>
      <c r="DP51" s="222">
        <v>3358</v>
      </c>
      <c r="DQ51" s="226">
        <f t="shared" si="35"/>
        <v>14.055299999999999</v>
      </c>
      <c r="DR51" s="312">
        <v>3358</v>
      </c>
      <c r="DS51" s="286">
        <f>DM51*Wirtschaftlichkeit!$R$5/Wirtschaftlichkeit!$R$7</f>
        <v>6.5204692986989174</v>
      </c>
      <c r="DT51" s="284">
        <f t="shared" si="36"/>
        <v>468.10775598976846</v>
      </c>
      <c r="DV51" s="222">
        <v>3358</v>
      </c>
      <c r="DW51" s="225">
        <f>IF($C51&gt;=Wirtschaftlichkeit!$S$8,Wirtschaftlichkeit!$S$8,IF(AND($C51&lt;=Wirtschaftlichkeit!$S$8,$C51&gt;=Wirtschaftlichkeit!$S$8*Eingabemaske!$B$18),$C51,"0"))</f>
        <v>14.055299999999999</v>
      </c>
      <c r="DX51" s="222">
        <v>3358</v>
      </c>
      <c r="DY51" s="224">
        <f t="shared" si="37"/>
        <v>513.01844999999992</v>
      </c>
      <c r="DZ51" s="222">
        <v>3358</v>
      </c>
      <c r="EA51" s="226">
        <f t="shared" si="38"/>
        <v>14.055299999999999</v>
      </c>
      <c r="EB51" s="312">
        <v>3358</v>
      </c>
      <c r="EC51" s="286">
        <f>DW51*Wirtschaftlichkeit!$S$5/Wirtschaftlichkeit!$S$7</f>
        <v>6.5999507216811502</v>
      </c>
      <c r="ED51" s="284">
        <f t="shared" si="39"/>
        <v>240.89820134136198</v>
      </c>
      <c r="EF51" s="222">
        <v>3358</v>
      </c>
      <c r="EG51" s="225" t="str">
        <f>IF($C51&gt;=Wirtschaftlichkeit!$T$8,Wirtschaftlichkeit!$T$8,IF(AND($C51&lt;=Wirtschaftlichkeit!$T$8,$C51&gt;=Wirtschaftlichkeit!$T$8*Eingabemaske!$B$18),$C51,"0"))</f>
        <v>0</v>
      </c>
      <c r="EH51" s="222">
        <v>3358</v>
      </c>
      <c r="EI51" s="224">
        <f t="shared" si="40"/>
        <v>0</v>
      </c>
      <c r="EJ51" s="222">
        <v>3358</v>
      </c>
      <c r="EK51" s="226" t="str">
        <f t="shared" si="41"/>
        <v xml:space="preserve"> </v>
      </c>
      <c r="EL51" s="312">
        <v>3358</v>
      </c>
      <c r="EM51" s="286">
        <f>EG51*Wirtschaftlichkeit!$T$5/Wirtschaftlichkeit!$T$7</f>
        <v>0</v>
      </c>
      <c r="EN51" s="284">
        <f t="shared" si="42"/>
        <v>0</v>
      </c>
      <c r="EP51" s="222">
        <v>3358</v>
      </c>
      <c r="EQ51" s="225" t="str">
        <f>IF($C51&gt;=Wirtschaftlichkeit!$U$8,Wirtschaftlichkeit!$U$8,IF(AND($C51&lt;=Wirtschaftlichkeit!$U$8,$C51&gt;=Wirtschaftlichkeit!$U$8*Eingabemaske!$B$18),$C51,"0"))</f>
        <v>0</v>
      </c>
      <c r="ER51" s="222">
        <v>3358</v>
      </c>
      <c r="ES51" s="224">
        <f t="shared" si="43"/>
        <v>0</v>
      </c>
      <c r="ET51" s="222">
        <v>3358</v>
      </c>
      <c r="EU51" s="226" t="str">
        <f t="shared" si="44"/>
        <v xml:space="preserve"> </v>
      </c>
      <c r="EV51" s="312">
        <v>3358</v>
      </c>
      <c r="EW51" s="286">
        <f>EQ51*Wirtschaftlichkeit!$U$5/Wirtschaftlichkeit!$U$7</f>
        <v>0</v>
      </c>
      <c r="EX51" s="284">
        <f t="shared" si="45"/>
        <v>0</v>
      </c>
      <c r="EZ51" s="222">
        <v>3358</v>
      </c>
      <c r="FA51" s="225" t="str">
        <f>IF($C51&gt;=Wirtschaftlichkeit!$V$8,Wirtschaftlichkeit!$V$8,IF(AND($C51&lt;=Wirtschaftlichkeit!$V$8,$C51&gt;=Wirtschaftlichkeit!$V$8*Eingabemaske!$B$18),$C51,"0"))</f>
        <v>0</v>
      </c>
      <c r="FB51" s="222">
        <v>3358</v>
      </c>
      <c r="FC51" s="224">
        <f t="shared" si="46"/>
        <v>0</v>
      </c>
      <c r="FD51" s="222">
        <v>3358</v>
      </c>
      <c r="FE51" s="226" t="str">
        <f t="shared" si="47"/>
        <v xml:space="preserve"> </v>
      </c>
      <c r="FF51" s="312">
        <v>3358</v>
      </c>
      <c r="FG51" s="286">
        <f>FA51*Wirtschaftlichkeit!$V$5/Wirtschaftlichkeit!$V$7</f>
        <v>0</v>
      </c>
      <c r="FH51" s="284">
        <f t="shared" si="48"/>
        <v>0</v>
      </c>
      <c r="FJ51" s="222">
        <v>3358</v>
      </c>
      <c r="FK51" s="225" t="str">
        <f>IF($C51&gt;=Wirtschaftlichkeit!$W$8,Wirtschaftlichkeit!$W$8,IF(AND($C51&lt;=Wirtschaftlichkeit!$W$8,$C51&gt;=Wirtschaftlichkeit!$W$8*Eingabemaske!$B$18),$C51,"0"))</f>
        <v>0</v>
      </c>
      <c r="FL51" s="222">
        <v>3358</v>
      </c>
      <c r="FM51" s="224">
        <f t="shared" si="49"/>
        <v>0</v>
      </c>
      <c r="FN51" s="222">
        <v>3358</v>
      </c>
      <c r="FO51" s="226" t="str">
        <f t="shared" si="50"/>
        <v xml:space="preserve"> </v>
      </c>
      <c r="FP51" s="312">
        <v>3358</v>
      </c>
      <c r="FQ51" s="286">
        <f>FK51*Wirtschaftlichkeit!$W$5/Wirtschaftlichkeit!$W$7</f>
        <v>0</v>
      </c>
      <c r="FR51" s="284">
        <f t="shared" si="51"/>
        <v>0</v>
      </c>
      <c r="FT51" s="222">
        <v>3358</v>
      </c>
      <c r="FU51" s="225" t="str">
        <f>IF($C51&gt;=Wirtschaftlichkeit!$X$8,Wirtschaftlichkeit!$X$8,IF(AND($C51&lt;=Wirtschaftlichkeit!$X$8,$C51&gt;=Wirtschaftlichkeit!$X$8*Eingabemaske!$B$18),$C51,"0"))</f>
        <v>0</v>
      </c>
      <c r="FV51" s="222">
        <v>3358</v>
      </c>
      <c r="FW51" s="224">
        <f t="shared" si="52"/>
        <v>0</v>
      </c>
      <c r="FX51" s="222">
        <v>3358</v>
      </c>
      <c r="FY51" s="226" t="str">
        <f t="shared" si="53"/>
        <v xml:space="preserve"> </v>
      </c>
      <c r="FZ51" s="312">
        <v>3358</v>
      </c>
      <c r="GA51" s="286">
        <f>FU51*Wirtschaftlichkeit!$X$5/Wirtschaftlichkeit!$X$7</f>
        <v>0</v>
      </c>
      <c r="GB51" s="284">
        <f t="shared" si="54"/>
        <v>0</v>
      </c>
      <c r="GD51" s="222">
        <v>3358</v>
      </c>
      <c r="GE51" s="225" t="str">
        <f>IF($C51&gt;=Wirtschaftlichkeit!$Y$8,Wirtschaftlichkeit!$Y$8,IF(AND($C51&lt;=Wirtschaftlichkeit!$Y$8,$C51&gt;=Wirtschaftlichkeit!$Y$8*Eingabemaske!$B$18),$C51,"0"))</f>
        <v>0</v>
      </c>
      <c r="GF51" s="222">
        <v>3358</v>
      </c>
      <c r="GG51" s="224">
        <f t="shared" si="55"/>
        <v>0</v>
      </c>
      <c r="GH51" s="222">
        <v>3358</v>
      </c>
      <c r="GI51" s="226" t="str">
        <f t="shared" si="56"/>
        <v xml:space="preserve"> </v>
      </c>
      <c r="GJ51" s="312">
        <v>3358</v>
      </c>
      <c r="GK51" s="286">
        <f>GE51*Wirtschaftlichkeit!$Y$5/Wirtschaftlichkeit!$Y$7</f>
        <v>0</v>
      </c>
      <c r="GL51" s="284">
        <f t="shared" si="57"/>
        <v>0</v>
      </c>
      <c r="GN51" s="222">
        <v>3358</v>
      </c>
      <c r="GO51" s="225" t="str">
        <f>IF($C51&gt;=Wirtschaftlichkeit!$Z$8,Wirtschaftlichkeit!$Z$8,IF(AND($C51&lt;=Wirtschaftlichkeit!$Z$8,$C51&gt;=Wirtschaftlichkeit!$Z$8*Eingabemaske!$B$18),$C51,"0"))</f>
        <v>0</v>
      </c>
      <c r="GP51" s="222">
        <v>3358</v>
      </c>
      <c r="GQ51" s="224">
        <f t="shared" si="58"/>
        <v>0</v>
      </c>
      <c r="GR51" s="222">
        <v>3358</v>
      </c>
      <c r="GS51" s="226" t="str">
        <f t="shared" si="59"/>
        <v xml:space="preserve"> </v>
      </c>
      <c r="GT51" s="312">
        <v>3358</v>
      </c>
      <c r="GU51" s="286">
        <f>GO51*Wirtschaftlichkeit!$Z$5/Wirtschaftlichkeit!$Z$7</f>
        <v>0</v>
      </c>
      <c r="GV51" s="284">
        <f t="shared" si="60"/>
        <v>0</v>
      </c>
      <c r="GW51" s="266"/>
      <c r="GX51" s="258">
        <v>3358</v>
      </c>
      <c r="GY51" s="270">
        <f>IF(Berechnung_Diagramme!$C$28=Berechnungen_Lastgang!$F$2,Berechnungen_Lastgang!G51,IF(Berechnung_Diagramme!$C$28=Berechnungen_Lastgang!$P$2,Berechnungen_Lastgang!Q51,IF(Berechnung_Diagramme!$C$28=Berechnungen_Lastgang!$Z$2,Berechnungen_Lastgang!AA51,IF(Berechnung_Diagramme!$C$28=Berechnungen_Lastgang!$AJ$2,Berechnungen_Lastgang!AK51,IF(Berechnung_Diagramme!$C$28=Berechnungen_Lastgang!$AT$2,Berechnungen_Lastgang!AU51,IF(Berechnung_Diagramme!$C$28=Berechnungen_Lastgang!$BD$2,Berechnungen_Lastgang!BE51,IF(Berechnung_Diagramme!$C$28=Berechnungen_Lastgang!$BN$2,Berechnungen_Lastgang!BO51,IF(Berechnung_Diagramme!$C$28=Berechnungen_Lastgang!$BX$2,Berechnungen_Lastgang!BY51,IF(Berechnung_Diagramme!$C$28=Berechnungen_Lastgang!$CH$2,Berechnungen_Lastgang!CI51,IF(Berechnung_Diagramme!$C$28=Berechnungen_Lastgang!$CR$2,Berechnungen_Lastgang!CS51,IF(Berechnung_Diagramme!$C$28=Berechnungen_Lastgang!$DB$2,Berechnungen_Lastgang!DC51,IF(Berechnung_Diagramme!$C$28=Berechnungen_Lastgang!$DL$2,Berechnungen_Lastgang!DM51,IF(Berechnung_Diagramme!$C$28=Berechnungen_Lastgang!$DV$2,Berechnungen_Lastgang!DW51,IF(Berechnung_Diagramme!$C$28=Berechnungen_Lastgang!$EF$2,Berechnungen_Lastgang!EG51,IF(Berechnung_Diagramme!$C$28=Berechnungen_Lastgang!$EP$2,Berechnungen_Lastgang!EQ51,IF(Berechnung_Diagramme!$C$28=Berechnungen_Lastgang!$EZ$2,Berechnungen_Lastgang!FA51,IF(Berechnung_Diagramme!$C$28=Berechnungen_Lastgang!$FJ$2,Berechnungen_Lastgang!FK51,IF(Berechnung_Diagramme!$C$28=Berechnungen_Lastgang!$FT$2,Berechnungen_Lastgang!FU51,IF(Berechnung_Diagramme!$C$28=Berechnungen_Lastgang!$GD$2,Berechnungen_Lastgang!GE51,IF(Berechnung_Diagramme!$C$28=Berechnungen_Lastgang!$GN$2,Berechnungen_Lastgang!GO51,""))))))))))))))))))))</f>
        <v>14.055299999999999</v>
      </c>
    </row>
    <row r="52" spans="2:207" x14ac:dyDescent="0.25">
      <c r="B52" s="64">
        <v>3431</v>
      </c>
      <c r="C52" s="67">
        <f>C51+((C55-C51)/(B55-B51))*(B52-B51)</f>
        <v>13.589549999999999</v>
      </c>
      <c r="D52" s="66">
        <f t="shared" si="61"/>
        <v>975.03727499999991</v>
      </c>
      <c r="F52" s="64">
        <v>3431</v>
      </c>
      <c r="G52" s="225">
        <f>IF($C52&gt;=Wirtschaftlichkeit!$G$8,Wirtschaftlichkeit!$G$8,IF(AND($C52&lt;=Wirtschaftlichkeit!$G$8,$C52&gt;=Wirtschaftlichkeit!$G$8*Eingabemaske!$B$18),$C52,"0"))</f>
        <v>2.8333333333333335</v>
      </c>
      <c r="H52" s="64">
        <v>3431</v>
      </c>
      <c r="I52" s="66">
        <f t="shared" si="62"/>
        <v>206.83333333333334</v>
      </c>
      <c r="J52" s="64">
        <v>3431</v>
      </c>
      <c r="K52" s="71">
        <f t="shared" si="63"/>
        <v>2.8333333333333335</v>
      </c>
      <c r="L52" s="312">
        <v>3431</v>
      </c>
      <c r="M52" s="286">
        <f>G52*Wirtschaftlichkeit!$G$5/Wirtschaftlichkeit!$G$7</f>
        <v>1</v>
      </c>
      <c r="N52" s="284">
        <f t="shared" si="3"/>
        <v>73</v>
      </c>
      <c r="P52" s="222">
        <v>3431</v>
      </c>
      <c r="Q52" s="225">
        <f>IF($C52&gt;=Wirtschaftlichkeit!$H$8,Wirtschaftlichkeit!$H$8,IF(AND($C52&lt;=Wirtschaftlichkeit!$H$8,$C52&gt;=Wirtschaftlichkeit!$H$8*Eingabemaske!$B$18),$C52,"0"))</f>
        <v>5.5876288659793811</v>
      </c>
      <c r="R52" s="222">
        <v>3431</v>
      </c>
      <c r="S52" s="224">
        <f t="shared" si="4"/>
        <v>407.89690721649481</v>
      </c>
      <c r="T52" s="222">
        <v>3431</v>
      </c>
      <c r="U52" s="226">
        <f t="shared" si="5"/>
        <v>5.5876288659793811</v>
      </c>
      <c r="V52" s="312">
        <v>3431</v>
      </c>
      <c r="W52" s="286">
        <f>Q52*Wirtschaftlichkeit!$H$5/Wirtschaftlichkeit!$H$7</f>
        <v>2</v>
      </c>
      <c r="X52" s="284">
        <f t="shared" si="6"/>
        <v>146</v>
      </c>
      <c r="Z52" s="222">
        <v>3431</v>
      </c>
      <c r="AA52" s="225">
        <f>IF($C52&gt;=Wirtschaftlichkeit!$I$8,Wirtschaftlichkeit!$I$8,IF(AND($C52&lt;=Wirtschaftlichkeit!$I$8,$C52&gt;=Wirtschaftlichkeit!$I$8*Eingabemaske!$B$18),$C52,"0"))</f>
        <v>8.2471643149712612</v>
      </c>
      <c r="AB52" s="222">
        <v>3431</v>
      </c>
      <c r="AC52" s="224">
        <f t="shared" si="7"/>
        <v>602.04299499290209</v>
      </c>
      <c r="AD52" s="222">
        <v>3431</v>
      </c>
      <c r="AE52" s="226">
        <f t="shared" si="8"/>
        <v>8.2471643149712612</v>
      </c>
      <c r="AF52" s="312">
        <v>3431</v>
      </c>
      <c r="AG52" s="286">
        <f>AA52*Wirtschaftlichkeit!$I$5/Wirtschaftlichkeit!$I$7</f>
        <v>3.0000000000000004</v>
      </c>
      <c r="AH52" s="284">
        <f t="shared" si="9"/>
        <v>219.00000000000003</v>
      </c>
      <c r="AJ52" s="222">
        <v>3431</v>
      </c>
      <c r="AK52" s="225">
        <f>IF($C52&gt;=Wirtschaftlichkeit!$J$8,Wirtschaftlichkeit!$J$8,IF(AND($C52&lt;=Wirtschaftlichkeit!$J$8,$C52&gt;=Wirtschaftlichkeit!$J$8*Eingabemaske!$B$18),$C52,"0"))</f>
        <v>10.537455322965799</v>
      </c>
      <c r="AL52" s="222">
        <v>3431</v>
      </c>
      <c r="AM52" s="224">
        <f t="shared" si="10"/>
        <v>769.23423857650334</v>
      </c>
      <c r="AN52" s="222">
        <v>3431</v>
      </c>
      <c r="AO52" s="226">
        <f t="shared" si="11"/>
        <v>10.537455322965799</v>
      </c>
      <c r="AP52" s="312">
        <v>3431</v>
      </c>
      <c r="AQ52" s="286">
        <f>AK52*Wirtschaftlichkeit!$J$5/Wirtschaftlichkeit!$J$7</f>
        <v>4</v>
      </c>
      <c r="AR52" s="284">
        <f t="shared" si="12"/>
        <v>292</v>
      </c>
      <c r="AT52" s="222">
        <v>3431</v>
      </c>
      <c r="AU52" s="225">
        <f>IF($C52&gt;=Wirtschaftlichkeit!$K$8,Wirtschaftlichkeit!$K$8,IF(AND($C52&lt;=Wirtschaftlichkeit!$K$8,$C52&gt;=Wirtschaftlichkeit!$K$8*Eingabemaske!$B$18),$C52,"0"))</f>
        <v>12.739122166763016</v>
      </c>
      <c r="AV52" s="222">
        <v>3431</v>
      </c>
      <c r="AW52" s="224">
        <f t="shared" si="13"/>
        <v>929.95591817370018</v>
      </c>
      <c r="AX52" s="222">
        <v>3431</v>
      </c>
      <c r="AY52" s="226">
        <f t="shared" si="14"/>
        <v>12.739122166763016</v>
      </c>
      <c r="AZ52" s="312">
        <v>3431</v>
      </c>
      <c r="BA52" s="286">
        <f>AU52*Wirtschaftlichkeit!$K$5/Wirtschaftlichkeit!$K$7</f>
        <v>5</v>
      </c>
      <c r="BB52" s="284">
        <f t="shared" si="15"/>
        <v>365</v>
      </c>
      <c r="BD52" s="222">
        <v>3431</v>
      </c>
      <c r="BE52" s="225">
        <f>IF($C52&gt;=Wirtschaftlichkeit!$L$8,Wirtschaftlichkeit!$L$8,IF(AND($C52&lt;=Wirtschaftlichkeit!$L$8,$C52&gt;=Wirtschaftlichkeit!$L$8*Eingabemaske!$B$18),$C52,"0"))</f>
        <v>13.589549999999999</v>
      </c>
      <c r="BF52" s="222">
        <v>3431</v>
      </c>
      <c r="BG52" s="224">
        <f t="shared" si="16"/>
        <v>975.03727499999991</v>
      </c>
      <c r="BH52" s="222">
        <v>3431</v>
      </c>
      <c r="BI52" s="226">
        <f t="shared" si="17"/>
        <v>13.589549999999999</v>
      </c>
      <c r="BJ52" s="312">
        <v>3431</v>
      </c>
      <c r="BK52" s="286">
        <f>BE52*Wirtschaftlichkeit!$L$5/Wirtschaftlichkeit!$L$7</f>
        <v>5.4826451129344758</v>
      </c>
      <c r="BL52" s="284">
        <f t="shared" si="18"/>
        <v>393.37456727468521</v>
      </c>
      <c r="BN52" s="222">
        <v>3431</v>
      </c>
      <c r="BO52" s="225">
        <f>IF($C52&gt;=Wirtschaftlichkeit!$M$8,Wirtschaftlichkeit!$M$8,IF(AND($C52&lt;=Wirtschaftlichkeit!$M$8,$C52&gt;=Wirtschaftlichkeit!$M$8*Eingabemaske!$B$18),$C52,"0"))</f>
        <v>13.589549999999999</v>
      </c>
      <c r="BP52" s="222">
        <v>3431</v>
      </c>
      <c r="BQ52" s="224">
        <f t="shared" si="19"/>
        <v>975.03727499999991</v>
      </c>
      <c r="BR52" s="222">
        <v>3431</v>
      </c>
      <c r="BS52" s="226">
        <f t="shared" si="20"/>
        <v>13.589549999999999</v>
      </c>
      <c r="BT52" s="312">
        <v>3431</v>
      </c>
      <c r="BU52" s="286">
        <f>BO52*Wirtschaftlichkeit!$M$5/Wirtschaftlichkeit!$M$7</f>
        <v>5.6126999531612825</v>
      </c>
      <c r="BV52" s="284">
        <f t="shared" si="21"/>
        <v>402.70587824637346</v>
      </c>
      <c r="BX52" s="222">
        <v>3431</v>
      </c>
      <c r="BY52" s="225">
        <f>IF($C52&gt;=Wirtschaftlichkeit!$N$8,Wirtschaftlichkeit!$N$8,IF(AND($C52&lt;=Wirtschaftlichkeit!$N$8,$C52&gt;=Wirtschaftlichkeit!$N$8*Eingabemaske!$B$18),$C52,"0"))</f>
        <v>13.589549999999999</v>
      </c>
      <c r="BZ52" s="222">
        <v>3431</v>
      </c>
      <c r="CA52" s="224">
        <f t="shared" si="22"/>
        <v>975.03727499999991</v>
      </c>
      <c r="CB52" s="222">
        <v>3431</v>
      </c>
      <c r="CC52" s="226">
        <f t="shared" si="23"/>
        <v>13.589549999999999</v>
      </c>
      <c r="CD52" s="312">
        <v>3431</v>
      </c>
      <c r="CE52" s="286">
        <f>BY52*Wirtschaftlichkeit!$N$5/Wirtschaftlichkeit!$N$7</f>
        <v>5.7285976199690785</v>
      </c>
      <c r="CF52" s="284">
        <f t="shared" si="24"/>
        <v>411.02142550313556</v>
      </c>
      <c r="CH52" s="222">
        <v>3431</v>
      </c>
      <c r="CI52" s="225">
        <f>IF($C52&gt;=Wirtschaftlichkeit!$O$8,Wirtschaftlichkeit!$O$8,IF(AND($C52&lt;=Wirtschaftlichkeit!$O$8,$C52&gt;=Wirtschaftlichkeit!$O$8*Eingabemaske!$B$18),$C52,"0"))</f>
        <v>13.589549999999999</v>
      </c>
      <c r="CJ52" s="222">
        <v>3431</v>
      </c>
      <c r="CK52" s="224">
        <f t="shared" si="25"/>
        <v>975.03727499999991</v>
      </c>
      <c r="CL52" s="222">
        <v>3431</v>
      </c>
      <c r="CM52" s="226">
        <f t="shared" si="26"/>
        <v>13.589549999999999</v>
      </c>
      <c r="CN52" s="312">
        <v>3431</v>
      </c>
      <c r="CO52" s="286">
        <f>CI52*Wirtschaftlichkeit!$O$5/Wirtschaftlichkeit!$O$7</f>
        <v>5.8334143042867712</v>
      </c>
      <c r="CP52" s="284">
        <f t="shared" si="27"/>
        <v>418.54192281553065</v>
      </c>
      <c r="CR52" s="222">
        <v>3431</v>
      </c>
      <c r="CS52" s="225">
        <f>IF($C52&gt;=Wirtschaftlichkeit!$P$8,Wirtschaftlichkeit!$P$8,IF(AND($C52&lt;=Wirtschaftlichkeit!$P$8,$C52&gt;=Wirtschaftlichkeit!$P$8*Eingabemaske!$B$18),$C52,"0"))</f>
        <v>13.589549999999999</v>
      </c>
      <c r="CT52" s="222">
        <v>3431</v>
      </c>
      <c r="CU52" s="224">
        <f t="shared" si="28"/>
        <v>975.03727499999991</v>
      </c>
      <c r="CV52" s="222">
        <v>3431</v>
      </c>
      <c r="CW52" s="226">
        <f t="shared" si="29"/>
        <v>13.589549999999999</v>
      </c>
      <c r="CX52" s="312">
        <v>3431</v>
      </c>
      <c r="CY52" s="286">
        <f>CS52*Wirtschaftlichkeit!$P$5/Wirtschaftlichkeit!$P$7</f>
        <v>5.9292984557081159</v>
      </c>
      <c r="CZ52" s="284">
        <f t="shared" si="30"/>
        <v>425.4215193965473</v>
      </c>
      <c r="DB52" s="222">
        <v>3431</v>
      </c>
      <c r="DC52" s="225">
        <f>IF($C52&gt;=Wirtschaftlichkeit!$Q$8,Wirtschaftlichkeit!$Q$8,IF(AND($C52&lt;=Wirtschaftlichkeit!$Q$8,$C52&gt;=Wirtschaftlichkeit!$Q$8*Eingabemaske!$B$18),$C52,"0"))</f>
        <v>13.589549999999999</v>
      </c>
      <c r="DD52" s="222">
        <v>3431</v>
      </c>
      <c r="DE52" s="224">
        <f t="shared" si="31"/>
        <v>975.03727499999991</v>
      </c>
      <c r="DF52" s="222">
        <v>3431</v>
      </c>
      <c r="DG52" s="226">
        <f t="shared" si="32"/>
        <v>13.589549999999999</v>
      </c>
      <c r="DH52" s="312">
        <v>3431</v>
      </c>
      <c r="DI52" s="286">
        <f>DC52*Wirtschaftlichkeit!$Q$5/Wirtschaftlichkeit!$Q$7</f>
        <v>6.2222389679602834</v>
      </c>
      <c r="DJ52" s="284">
        <f t="shared" si="33"/>
        <v>446.43972226591808</v>
      </c>
      <c r="DL52" s="222">
        <v>3431</v>
      </c>
      <c r="DM52" s="225">
        <f>IF($C52&gt;=Wirtschaftlichkeit!$R$8,Wirtschaftlichkeit!$R$8,IF(AND($C52&lt;=Wirtschaftlichkeit!$R$8,$C52&gt;=Wirtschaftlichkeit!$R$8*Eingabemaske!$B$18),$C52,"0"))</f>
        <v>13.589549999999999</v>
      </c>
      <c r="DN52" s="222">
        <v>3431</v>
      </c>
      <c r="DO52" s="224">
        <f t="shared" si="34"/>
        <v>975.03727499999991</v>
      </c>
      <c r="DP52" s="222">
        <v>3431</v>
      </c>
      <c r="DQ52" s="226">
        <f t="shared" si="35"/>
        <v>13.589549999999999</v>
      </c>
      <c r="DR52" s="312">
        <v>3431</v>
      </c>
      <c r="DS52" s="286">
        <f>DM52*Wirtschaftlichkeit!$R$5/Wirtschaftlichkeit!$R$7</f>
        <v>6.3044007284180266</v>
      </c>
      <c r="DT52" s="284">
        <f t="shared" si="36"/>
        <v>452.33475035926341</v>
      </c>
      <c r="DV52" s="222">
        <v>3431</v>
      </c>
      <c r="DW52" s="225" t="str">
        <f>IF($C52&gt;=Wirtschaftlichkeit!$S$8,Wirtschaftlichkeit!$S$8,IF(AND($C52&lt;=Wirtschaftlichkeit!$S$8,$C52&gt;=Wirtschaftlichkeit!$S$8*Eingabemaske!$B$18),$C52,"0"))</f>
        <v>0</v>
      </c>
      <c r="DX52" s="222">
        <v>3431</v>
      </c>
      <c r="DY52" s="224">
        <f t="shared" si="37"/>
        <v>0</v>
      </c>
      <c r="DZ52" s="222">
        <v>3431</v>
      </c>
      <c r="EA52" s="226" t="str">
        <f t="shared" si="38"/>
        <v xml:space="preserve"> </v>
      </c>
      <c r="EB52" s="312">
        <v>3431</v>
      </c>
      <c r="EC52" s="286">
        <f>DW52*Wirtschaftlichkeit!$S$5/Wirtschaftlichkeit!$S$7</f>
        <v>0</v>
      </c>
      <c r="ED52" s="284">
        <f t="shared" si="39"/>
        <v>0</v>
      </c>
      <c r="EF52" s="222">
        <v>3431</v>
      </c>
      <c r="EG52" s="225" t="str">
        <f>IF($C52&gt;=Wirtschaftlichkeit!$T$8,Wirtschaftlichkeit!$T$8,IF(AND($C52&lt;=Wirtschaftlichkeit!$T$8,$C52&gt;=Wirtschaftlichkeit!$T$8*Eingabemaske!$B$18),$C52,"0"))</f>
        <v>0</v>
      </c>
      <c r="EH52" s="222">
        <v>3431</v>
      </c>
      <c r="EI52" s="224">
        <f t="shared" si="40"/>
        <v>0</v>
      </c>
      <c r="EJ52" s="222">
        <v>3431</v>
      </c>
      <c r="EK52" s="226" t="str">
        <f t="shared" si="41"/>
        <v xml:space="preserve"> </v>
      </c>
      <c r="EL52" s="312">
        <v>3431</v>
      </c>
      <c r="EM52" s="286">
        <f>EG52*Wirtschaftlichkeit!$T$5/Wirtschaftlichkeit!$T$7</f>
        <v>0</v>
      </c>
      <c r="EN52" s="284">
        <f t="shared" si="42"/>
        <v>0</v>
      </c>
      <c r="EP52" s="222">
        <v>3431</v>
      </c>
      <c r="EQ52" s="225" t="str">
        <f>IF($C52&gt;=Wirtschaftlichkeit!$U$8,Wirtschaftlichkeit!$U$8,IF(AND($C52&lt;=Wirtschaftlichkeit!$U$8,$C52&gt;=Wirtschaftlichkeit!$U$8*Eingabemaske!$B$18),$C52,"0"))</f>
        <v>0</v>
      </c>
      <c r="ER52" s="222">
        <v>3431</v>
      </c>
      <c r="ES52" s="224">
        <f t="shared" si="43"/>
        <v>0</v>
      </c>
      <c r="ET52" s="222">
        <v>3431</v>
      </c>
      <c r="EU52" s="226" t="str">
        <f t="shared" si="44"/>
        <v xml:space="preserve"> </v>
      </c>
      <c r="EV52" s="312">
        <v>3431</v>
      </c>
      <c r="EW52" s="286">
        <f>EQ52*Wirtschaftlichkeit!$U$5/Wirtschaftlichkeit!$U$7</f>
        <v>0</v>
      </c>
      <c r="EX52" s="284">
        <f t="shared" si="45"/>
        <v>0</v>
      </c>
      <c r="EZ52" s="222">
        <v>3431</v>
      </c>
      <c r="FA52" s="225" t="str">
        <f>IF($C52&gt;=Wirtschaftlichkeit!$V$8,Wirtschaftlichkeit!$V$8,IF(AND($C52&lt;=Wirtschaftlichkeit!$V$8,$C52&gt;=Wirtschaftlichkeit!$V$8*Eingabemaske!$B$18),$C52,"0"))</f>
        <v>0</v>
      </c>
      <c r="FB52" s="222">
        <v>3431</v>
      </c>
      <c r="FC52" s="224">
        <f t="shared" si="46"/>
        <v>0</v>
      </c>
      <c r="FD52" s="222">
        <v>3431</v>
      </c>
      <c r="FE52" s="226" t="str">
        <f t="shared" si="47"/>
        <v xml:space="preserve"> </v>
      </c>
      <c r="FF52" s="312">
        <v>3431</v>
      </c>
      <c r="FG52" s="286">
        <f>FA52*Wirtschaftlichkeit!$V$5/Wirtschaftlichkeit!$V$7</f>
        <v>0</v>
      </c>
      <c r="FH52" s="284">
        <f t="shared" si="48"/>
        <v>0</v>
      </c>
      <c r="FJ52" s="222">
        <v>3431</v>
      </c>
      <c r="FK52" s="225" t="str">
        <f>IF($C52&gt;=Wirtschaftlichkeit!$W$8,Wirtschaftlichkeit!$W$8,IF(AND($C52&lt;=Wirtschaftlichkeit!$W$8,$C52&gt;=Wirtschaftlichkeit!$W$8*Eingabemaske!$B$18),$C52,"0"))</f>
        <v>0</v>
      </c>
      <c r="FL52" s="222">
        <v>3431</v>
      </c>
      <c r="FM52" s="224">
        <f t="shared" si="49"/>
        <v>0</v>
      </c>
      <c r="FN52" s="222">
        <v>3431</v>
      </c>
      <c r="FO52" s="226" t="str">
        <f t="shared" si="50"/>
        <v xml:space="preserve"> </v>
      </c>
      <c r="FP52" s="312">
        <v>3431</v>
      </c>
      <c r="FQ52" s="286">
        <f>FK52*Wirtschaftlichkeit!$W$5/Wirtschaftlichkeit!$W$7</f>
        <v>0</v>
      </c>
      <c r="FR52" s="284">
        <f t="shared" si="51"/>
        <v>0</v>
      </c>
      <c r="FT52" s="222">
        <v>3431</v>
      </c>
      <c r="FU52" s="225" t="str">
        <f>IF($C52&gt;=Wirtschaftlichkeit!$X$8,Wirtschaftlichkeit!$X$8,IF(AND($C52&lt;=Wirtschaftlichkeit!$X$8,$C52&gt;=Wirtschaftlichkeit!$X$8*Eingabemaske!$B$18),$C52,"0"))</f>
        <v>0</v>
      </c>
      <c r="FV52" s="222">
        <v>3431</v>
      </c>
      <c r="FW52" s="224">
        <f t="shared" si="52"/>
        <v>0</v>
      </c>
      <c r="FX52" s="222">
        <v>3431</v>
      </c>
      <c r="FY52" s="226" t="str">
        <f t="shared" si="53"/>
        <v xml:space="preserve"> </v>
      </c>
      <c r="FZ52" s="312">
        <v>3431</v>
      </c>
      <c r="GA52" s="286">
        <f>FU52*Wirtschaftlichkeit!$X$5/Wirtschaftlichkeit!$X$7</f>
        <v>0</v>
      </c>
      <c r="GB52" s="284">
        <f t="shared" si="54"/>
        <v>0</v>
      </c>
      <c r="GD52" s="222">
        <v>3431</v>
      </c>
      <c r="GE52" s="225" t="str">
        <f>IF($C52&gt;=Wirtschaftlichkeit!$Y$8,Wirtschaftlichkeit!$Y$8,IF(AND($C52&lt;=Wirtschaftlichkeit!$Y$8,$C52&gt;=Wirtschaftlichkeit!$Y$8*Eingabemaske!$B$18),$C52,"0"))</f>
        <v>0</v>
      </c>
      <c r="GF52" s="222">
        <v>3431</v>
      </c>
      <c r="GG52" s="224">
        <f t="shared" si="55"/>
        <v>0</v>
      </c>
      <c r="GH52" s="222">
        <v>3431</v>
      </c>
      <c r="GI52" s="226" t="str">
        <f t="shared" si="56"/>
        <v xml:space="preserve"> </v>
      </c>
      <c r="GJ52" s="312">
        <v>3431</v>
      </c>
      <c r="GK52" s="286">
        <f>GE52*Wirtschaftlichkeit!$Y$5/Wirtschaftlichkeit!$Y$7</f>
        <v>0</v>
      </c>
      <c r="GL52" s="284">
        <f t="shared" si="57"/>
        <v>0</v>
      </c>
      <c r="GN52" s="222">
        <v>3431</v>
      </c>
      <c r="GO52" s="225" t="str">
        <f>IF($C52&gt;=Wirtschaftlichkeit!$Z$8,Wirtschaftlichkeit!$Z$8,IF(AND($C52&lt;=Wirtschaftlichkeit!$Z$8,$C52&gt;=Wirtschaftlichkeit!$Z$8*Eingabemaske!$B$18),$C52,"0"))</f>
        <v>0</v>
      </c>
      <c r="GP52" s="222">
        <v>3431</v>
      </c>
      <c r="GQ52" s="224">
        <f t="shared" si="58"/>
        <v>0</v>
      </c>
      <c r="GR52" s="222">
        <v>3431</v>
      </c>
      <c r="GS52" s="226" t="str">
        <f t="shared" si="59"/>
        <v xml:space="preserve"> </v>
      </c>
      <c r="GT52" s="312">
        <v>3431</v>
      </c>
      <c r="GU52" s="286">
        <f>GO52*Wirtschaftlichkeit!$Z$5/Wirtschaftlichkeit!$Z$7</f>
        <v>0</v>
      </c>
      <c r="GV52" s="284">
        <f t="shared" si="60"/>
        <v>0</v>
      </c>
      <c r="GW52" s="266"/>
      <c r="GX52" s="258">
        <v>3431</v>
      </c>
      <c r="GY52" s="270">
        <f>IF(Berechnung_Diagramme!$C$28=Berechnungen_Lastgang!$F$2,Berechnungen_Lastgang!G52,IF(Berechnung_Diagramme!$C$28=Berechnungen_Lastgang!$P$2,Berechnungen_Lastgang!Q52,IF(Berechnung_Diagramme!$C$28=Berechnungen_Lastgang!$Z$2,Berechnungen_Lastgang!AA52,IF(Berechnung_Diagramme!$C$28=Berechnungen_Lastgang!$AJ$2,Berechnungen_Lastgang!AK52,IF(Berechnung_Diagramme!$C$28=Berechnungen_Lastgang!$AT$2,Berechnungen_Lastgang!AU52,IF(Berechnung_Diagramme!$C$28=Berechnungen_Lastgang!$BD$2,Berechnungen_Lastgang!BE52,IF(Berechnung_Diagramme!$C$28=Berechnungen_Lastgang!$BN$2,Berechnungen_Lastgang!BO52,IF(Berechnung_Diagramme!$C$28=Berechnungen_Lastgang!$BX$2,Berechnungen_Lastgang!BY52,IF(Berechnung_Diagramme!$C$28=Berechnungen_Lastgang!$CH$2,Berechnungen_Lastgang!CI52,IF(Berechnung_Diagramme!$C$28=Berechnungen_Lastgang!$CR$2,Berechnungen_Lastgang!CS52,IF(Berechnung_Diagramme!$C$28=Berechnungen_Lastgang!$DB$2,Berechnungen_Lastgang!DC52,IF(Berechnung_Diagramme!$C$28=Berechnungen_Lastgang!$DL$2,Berechnungen_Lastgang!DM52,IF(Berechnung_Diagramme!$C$28=Berechnungen_Lastgang!$DV$2,Berechnungen_Lastgang!DW52,IF(Berechnung_Diagramme!$C$28=Berechnungen_Lastgang!$EF$2,Berechnungen_Lastgang!EG52,IF(Berechnung_Diagramme!$C$28=Berechnungen_Lastgang!$EP$2,Berechnungen_Lastgang!EQ52,IF(Berechnung_Diagramme!$C$28=Berechnungen_Lastgang!$EZ$2,Berechnungen_Lastgang!FA52,IF(Berechnung_Diagramme!$C$28=Berechnungen_Lastgang!$FJ$2,Berechnungen_Lastgang!FK52,IF(Berechnung_Diagramme!$C$28=Berechnungen_Lastgang!$FT$2,Berechnungen_Lastgang!FU52,IF(Berechnung_Diagramme!$C$28=Berechnungen_Lastgang!$GD$2,Berechnungen_Lastgang!GE52,IF(Berechnung_Diagramme!$C$28=Berechnungen_Lastgang!$GN$2,Berechnungen_Lastgang!GO52,""))))))))))))))))))))</f>
        <v>13.589549999999999</v>
      </c>
    </row>
    <row r="53" spans="2:207" x14ac:dyDescent="0.25">
      <c r="B53" s="64">
        <v>3504</v>
      </c>
      <c r="C53" s="67">
        <f>C52+((C55-C52)/(B55-B52))*(B53-B52)</f>
        <v>13.123799999999999</v>
      </c>
      <c r="D53" s="66">
        <f t="shared" si="61"/>
        <v>941.03752499999996</v>
      </c>
      <c r="F53" s="64">
        <v>3504</v>
      </c>
      <c r="G53" s="225">
        <f>IF($C53&gt;=Wirtschaftlichkeit!$G$8,Wirtschaftlichkeit!$G$8,IF(AND($C53&lt;=Wirtschaftlichkeit!$G$8,$C53&gt;=Wirtschaftlichkeit!$G$8*Eingabemaske!$B$18),$C53,"0"))</f>
        <v>2.8333333333333335</v>
      </c>
      <c r="H53" s="64">
        <v>3504</v>
      </c>
      <c r="I53" s="66">
        <f t="shared" si="62"/>
        <v>206.83333333333334</v>
      </c>
      <c r="J53" s="64">
        <v>3504</v>
      </c>
      <c r="K53" s="71">
        <f t="shared" si="63"/>
        <v>2.8333333333333335</v>
      </c>
      <c r="L53" s="312">
        <v>3504</v>
      </c>
      <c r="M53" s="286">
        <f>G53*Wirtschaftlichkeit!$G$5/Wirtschaftlichkeit!$G$7</f>
        <v>1</v>
      </c>
      <c r="N53" s="284">
        <f t="shared" si="3"/>
        <v>73</v>
      </c>
      <c r="P53" s="222">
        <v>3504</v>
      </c>
      <c r="Q53" s="225">
        <f>IF($C53&gt;=Wirtschaftlichkeit!$H$8,Wirtschaftlichkeit!$H$8,IF(AND($C53&lt;=Wirtschaftlichkeit!$H$8,$C53&gt;=Wirtschaftlichkeit!$H$8*Eingabemaske!$B$18),$C53,"0"))</f>
        <v>5.5876288659793811</v>
      </c>
      <c r="R53" s="222">
        <v>3504</v>
      </c>
      <c r="S53" s="224">
        <f t="shared" si="4"/>
        <v>407.89690721649481</v>
      </c>
      <c r="T53" s="222">
        <v>3504</v>
      </c>
      <c r="U53" s="226">
        <f t="shared" si="5"/>
        <v>5.5876288659793811</v>
      </c>
      <c r="V53" s="312">
        <v>3504</v>
      </c>
      <c r="W53" s="286">
        <f>Q53*Wirtschaftlichkeit!$H$5/Wirtschaftlichkeit!$H$7</f>
        <v>2</v>
      </c>
      <c r="X53" s="284">
        <f t="shared" si="6"/>
        <v>146</v>
      </c>
      <c r="Z53" s="222">
        <v>3504</v>
      </c>
      <c r="AA53" s="225">
        <f>IF($C53&gt;=Wirtschaftlichkeit!$I$8,Wirtschaftlichkeit!$I$8,IF(AND($C53&lt;=Wirtschaftlichkeit!$I$8,$C53&gt;=Wirtschaftlichkeit!$I$8*Eingabemaske!$B$18),$C53,"0"))</f>
        <v>8.2471643149712612</v>
      </c>
      <c r="AB53" s="222">
        <v>3504</v>
      </c>
      <c r="AC53" s="224">
        <f t="shared" si="7"/>
        <v>602.04299499290209</v>
      </c>
      <c r="AD53" s="222">
        <v>3504</v>
      </c>
      <c r="AE53" s="226">
        <f t="shared" si="8"/>
        <v>8.2471643149712612</v>
      </c>
      <c r="AF53" s="312">
        <v>3504</v>
      </c>
      <c r="AG53" s="286">
        <f>AA53*Wirtschaftlichkeit!$I$5/Wirtschaftlichkeit!$I$7</f>
        <v>3.0000000000000004</v>
      </c>
      <c r="AH53" s="284">
        <f t="shared" si="9"/>
        <v>219.00000000000003</v>
      </c>
      <c r="AJ53" s="222">
        <v>3504</v>
      </c>
      <c r="AK53" s="225">
        <f>IF($C53&gt;=Wirtschaftlichkeit!$J$8,Wirtschaftlichkeit!$J$8,IF(AND($C53&lt;=Wirtschaftlichkeit!$J$8,$C53&gt;=Wirtschaftlichkeit!$J$8*Eingabemaske!$B$18),$C53,"0"))</f>
        <v>10.537455322965799</v>
      </c>
      <c r="AL53" s="222">
        <v>3504</v>
      </c>
      <c r="AM53" s="224">
        <f t="shared" si="10"/>
        <v>769.23423857650334</v>
      </c>
      <c r="AN53" s="222">
        <v>3504</v>
      </c>
      <c r="AO53" s="226">
        <f t="shared" si="11"/>
        <v>10.537455322965799</v>
      </c>
      <c r="AP53" s="312">
        <v>3504</v>
      </c>
      <c r="AQ53" s="286">
        <f>AK53*Wirtschaftlichkeit!$J$5/Wirtschaftlichkeit!$J$7</f>
        <v>4</v>
      </c>
      <c r="AR53" s="284">
        <f t="shared" si="12"/>
        <v>292</v>
      </c>
      <c r="AT53" s="222">
        <v>3504</v>
      </c>
      <c r="AU53" s="225">
        <f>IF($C53&gt;=Wirtschaftlichkeit!$K$8,Wirtschaftlichkeit!$K$8,IF(AND($C53&lt;=Wirtschaftlichkeit!$K$8,$C53&gt;=Wirtschaftlichkeit!$K$8*Eingabemaske!$B$18),$C53,"0"))</f>
        <v>12.739122166763016</v>
      </c>
      <c r="AV53" s="222">
        <v>3504</v>
      </c>
      <c r="AW53" s="224">
        <f t="shared" si="13"/>
        <v>926.99678408684997</v>
      </c>
      <c r="AX53" s="222">
        <v>3504</v>
      </c>
      <c r="AY53" s="226">
        <f t="shared" si="14"/>
        <v>12.739122166763016</v>
      </c>
      <c r="AZ53" s="312">
        <v>3504</v>
      </c>
      <c r="BA53" s="286">
        <f>AU53*Wirtschaftlichkeit!$K$5/Wirtschaftlichkeit!$K$7</f>
        <v>5</v>
      </c>
      <c r="BB53" s="284">
        <f t="shared" si="15"/>
        <v>363.83856436569448</v>
      </c>
      <c r="BD53" s="222">
        <v>3504</v>
      </c>
      <c r="BE53" s="225">
        <f>IF($C53&gt;=Wirtschaftlichkeit!$L$8,Wirtschaftlichkeit!$L$8,IF(AND($C53&lt;=Wirtschaftlichkeit!$L$8,$C53&gt;=Wirtschaftlichkeit!$L$8*Eingabemaske!$B$18),$C53,"0"))</f>
        <v>13.123799999999999</v>
      </c>
      <c r="BF53" s="222">
        <v>3504</v>
      </c>
      <c r="BG53" s="224">
        <f t="shared" si="16"/>
        <v>941.03752499999996</v>
      </c>
      <c r="BH53" s="222">
        <v>3504</v>
      </c>
      <c r="BI53" s="226">
        <f t="shared" si="17"/>
        <v>13.123799999999999</v>
      </c>
      <c r="BJ53" s="312">
        <v>3504</v>
      </c>
      <c r="BK53" s="286">
        <f>BE53*Wirtschaftlichkeit!$L$5/Wirtschaftlichkeit!$L$7</f>
        <v>5.2947402918514204</v>
      </c>
      <c r="BL53" s="284">
        <f t="shared" si="18"/>
        <v>379.65751533562218</v>
      </c>
      <c r="BN53" s="222">
        <v>3504</v>
      </c>
      <c r="BO53" s="225">
        <f>IF($C53&gt;=Wirtschaftlichkeit!$M$8,Wirtschaftlichkeit!$M$8,IF(AND($C53&lt;=Wirtschaftlichkeit!$M$8,$C53&gt;=Wirtschaftlichkeit!$M$8*Eingabemaske!$B$18),$C53,"0"))</f>
        <v>13.123799999999999</v>
      </c>
      <c r="BP53" s="222">
        <v>3504</v>
      </c>
      <c r="BQ53" s="224">
        <f t="shared" si="19"/>
        <v>941.03752499999996</v>
      </c>
      <c r="BR53" s="222">
        <v>3504</v>
      </c>
      <c r="BS53" s="226">
        <f t="shared" si="20"/>
        <v>13.123799999999999</v>
      </c>
      <c r="BT53" s="312">
        <v>3504</v>
      </c>
      <c r="BU53" s="286">
        <f>BO53*Wirtschaftlichkeit!$M$5/Wirtschaftlichkeit!$M$7</f>
        <v>5.4203378070133326</v>
      </c>
      <c r="BV53" s="284">
        <f t="shared" si="21"/>
        <v>388.66344157757311</v>
      </c>
      <c r="BX53" s="222">
        <v>3504</v>
      </c>
      <c r="BY53" s="225">
        <f>IF($C53&gt;=Wirtschaftlichkeit!$N$8,Wirtschaftlichkeit!$N$8,IF(AND($C53&lt;=Wirtschaftlichkeit!$N$8,$C53&gt;=Wirtschaftlichkeit!$N$8*Eingabemaske!$B$18),$C53,"0"))</f>
        <v>13.123799999999999</v>
      </c>
      <c r="BZ53" s="222">
        <v>3504</v>
      </c>
      <c r="CA53" s="224">
        <f t="shared" si="22"/>
        <v>941.03752499999996</v>
      </c>
      <c r="CB53" s="222">
        <v>3504</v>
      </c>
      <c r="CC53" s="226">
        <f t="shared" si="23"/>
        <v>13.123799999999999</v>
      </c>
      <c r="CD53" s="312">
        <v>3504</v>
      </c>
      <c r="CE53" s="286">
        <f>BY53*Wirtschaftlichkeit!$N$5/Wirtschaftlichkeit!$N$7</f>
        <v>5.5322633527195668</v>
      </c>
      <c r="CF53" s="284">
        <f t="shared" si="24"/>
        <v>396.68902399392118</v>
      </c>
      <c r="CH53" s="222">
        <v>3504</v>
      </c>
      <c r="CI53" s="225">
        <f>IF($C53&gt;=Wirtschaftlichkeit!$O$8,Wirtschaftlichkeit!$O$8,IF(AND($C53&lt;=Wirtschaftlichkeit!$O$8,$C53&gt;=Wirtschaftlichkeit!$O$8*Eingabemaske!$B$18),$C53,"0"))</f>
        <v>13.123799999999999</v>
      </c>
      <c r="CJ53" s="222">
        <v>3504</v>
      </c>
      <c r="CK53" s="224">
        <f t="shared" si="25"/>
        <v>941.03752499999996</v>
      </c>
      <c r="CL53" s="222">
        <v>3504</v>
      </c>
      <c r="CM53" s="226">
        <f t="shared" si="26"/>
        <v>13.123799999999999</v>
      </c>
      <c r="CN53" s="312">
        <v>3504</v>
      </c>
      <c r="CO53" s="286">
        <f>CI53*Wirtschaftlichkeit!$O$5/Wirtschaftlichkeit!$O$7</f>
        <v>5.6334876906592735</v>
      </c>
      <c r="CP53" s="284">
        <f t="shared" si="27"/>
        <v>403.94728002072327</v>
      </c>
      <c r="CR53" s="222">
        <v>3504</v>
      </c>
      <c r="CS53" s="225">
        <f>IF($C53&gt;=Wirtschaftlichkeit!$P$8,Wirtschaftlichkeit!$P$8,IF(AND($C53&lt;=Wirtschaftlichkeit!$P$8,$C53&gt;=Wirtschaftlichkeit!$P$8*Eingabemaske!$B$18),$C53,"0"))</f>
        <v>13.123799999999999</v>
      </c>
      <c r="CT53" s="222">
        <v>3504</v>
      </c>
      <c r="CU53" s="224">
        <f t="shared" si="28"/>
        <v>941.03752499999996</v>
      </c>
      <c r="CV53" s="222">
        <v>3504</v>
      </c>
      <c r="CW53" s="226">
        <f t="shared" si="29"/>
        <v>13.123799999999999</v>
      </c>
      <c r="CX53" s="312">
        <v>3504</v>
      </c>
      <c r="CY53" s="286">
        <f>CS53*Wirtschaftlichkeit!$P$5/Wirtschaftlichkeit!$P$7</f>
        <v>5.7260856373479747</v>
      </c>
      <c r="CZ53" s="284">
        <f t="shared" si="30"/>
        <v>410.58698365625702</v>
      </c>
      <c r="DB53" s="222">
        <v>3504</v>
      </c>
      <c r="DC53" s="225">
        <f>IF($C53&gt;=Wirtschaftlichkeit!$Q$8,Wirtschaftlichkeit!$Q$8,IF(AND($C53&lt;=Wirtschaftlichkeit!$Q$8,$C53&gt;=Wirtschaftlichkeit!$Q$8*Eingabemaske!$B$18),$C53,"0"))</f>
        <v>13.123799999999999</v>
      </c>
      <c r="DD53" s="222">
        <v>3504</v>
      </c>
      <c r="DE53" s="224">
        <f t="shared" si="31"/>
        <v>941.03752499999996</v>
      </c>
      <c r="DF53" s="222">
        <v>3504</v>
      </c>
      <c r="DG53" s="226">
        <f t="shared" si="32"/>
        <v>13.123799999999999</v>
      </c>
      <c r="DH53" s="312">
        <v>3504</v>
      </c>
      <c r="DI53" s="286">
        <f>DC53*Wirtschaftlichkeit!$Q$5/Wirtschaftlichkeit!$Q$7</f>
        <v>6.0089862995991155</v>
      </c>
      <c r="DJ53" s="284">
        <f t="shared" si="33"/>
        <v>430.87227747555278</v>
      </c>
      <c r="DL53" s="222">
        <v>3504</v>
      </c>
      <c r="DM53" s="225">
        <f>IF($C53&gt;=Wirtschaftlichkeit!$R$8,Wirtschaftlichkeit!$R$8,IF(AND($C53&lt;=Wirtschaftlichkeit!$R$8,$C53&gt;=Wirtschaftlichkeit!$R$8*Eingabemaske!$B$18),$C53,"0"))</f>
        <v>13.123799999999999</v>
      </c>
      <c r="DN53" s="222">
        <v>3504</v>
      </c>
      <c r="DO53" s="224">
        <f t="shared" si="34"/>
        <v>479.01869999999997</v>
      </c>
      <c r="DP53" s="222">
        <v>3504</v>
      </c>
      <c r="DQ53" s="226">
        <f t="shared" si="35"/>
        <v>13.123799999999999</v>
      </c>
      <c r="DR53" s="312">
        <v>3504</v>
      </c>
      <c r="DS53" s="286">
        <f>DM53*Wirtschaftlichkeit!$R$5/Wirtschaftlichkeit!$R$7</f>
        <v>6.0883321581371348</v>
      </c>
      <c r="DT53" s="284">
        <f t="shared" si="36"/>
        <v>222.22412377200541</v>
      </c>
      <c r="DV53" s="222">
        <v>3504</v>
      </c>
      <c r="DW53" s="225" t="str">
        <f>IF($C53&gt;=Wirtschaftlichkeit!$S$8,Wirtschaftlichkeit!$S$8,IF(AND($C53&lt;=Wirtschaftlichkeit!$S$8,$C53&gt;=Wirtschaftlichkeit!$S$8*Eingabemaske!$B$18),$C53,"0"))</f>
        <v>0</v>
      </c>
      <c r="DX53" s="222">
        <v>3504</v>
      </c>
      <c r="DY53" s="224">
        <f t="shared" si="37"/>
        <v>0</v>
      </c>
      <c r="DZ53" s="222">
        <v>3504</v>
      </c>
      <c r="EA53" s="226" t="str">
        <f t="shared" si="38"/>
        <v xml:space="preserve"> </v>
      </c>
      <c r="EB53" s="312">
        <v>3504</v>
      </c>
      <c r="EC53" s="286">
        <f>DW53*Wirtschaftlichkeit!$S$5/Wirtschaftlichkeit!$S$7</f>
        <v>0</v>
      </c>
      <c r="ED53" s="284">
        <f t="shared" si="39"/>
        <v>0</v>
      </c>
      <c r="EF53" s="222">
        <v>3504</v>
      </c>
      <c r="EG53" s="225" t="str">
        <f>IF($C53&gt;=Wirtschaftlichkeit!$T$8,Wirtschaftlichkeit!$T$8,IF(AND($C53&lt;=Wirtschaftlichkeit!$T$8,$C53&gt;=Wirtschaftlichkeit!$T$8*Eingabemaske!$B$18),$C53,"0"))</f>
        <v>0</v>
      </c>
      <c r="EH53" s="222">
        <v>3504</v>
      </c>
      <c r="EI53" s="224">
        <f t="shared" si="40"/>
        <v>0</v>
      </c>
      <c r="EJ53" s="222">
        <v>3504</v>
      </c>
      <c r="EK53" s="226" t="str">
        <f t="shared" si="41"/>
        <v xml:space="preserve"> </v>
      </c>
      <c r="EL53" s="312">
        <v>3504</v>
      </c>
      <c r="EM53" s="286">
        <f>EG53*Wirtschaftlichkeit!$T$5/Wirtschaftlichkeit!$T$7</f>
        <v>0</v>
      </c>
      <c r="EN53" s="284">
        <f t="shared" si="42"/>
        <v>0</v>
      </c>
      <c r="EP53" s="222">
        <v>3504</v>
      </c>
      <c r="EQ53" s="225" t="str">
        <f>IF($C53&gt;=Wirtschaftlichkeit!$U$8,Wirtschaftlichkeit!$U$8,IF(AND($C53&lt;=Wirtschaftlichkeit!$U$8,$C53&gt;=Wirtschaftlichkeit!$U$8*Eingabemaske!$B$18),$C53,"0"))</f>
        <v>0</v>
      </c>
      <c r="ER53" s="222">
        <v>3504</v>
      </c>
      <c r="ES53" s="224">
        <f t="shared" si="43"/>
        <v>0</v>
      </c>
      <c r="ET53" s="222">
        <v>3504</v>
      </c>
      <c r="EU53" s="226" t="str">
        <f t="shared" si="44"/>
        <v xml:space="preserve"> </v>
      </c>
      <c r="EV53" s="312">
        <v>3504</v>
      </c>
      <c r="EW53" s="286">
        <f>EQ53*Wirtschaftlichkeit!$U$5/Wirtschaftlichkeit!$U$7</f>
        <v>0</v>
      </c>
      <c r="EX53" s="284">
        <f t="shared" si="45"/>
        <v>0</v>
      </c>
      <c r="EZ53" s="222">
        <v>3504</v>
      </c>
      <c r="FA53" s="225" t="str">
        <f>IF($C53&gt;=Wirtschaftlichkeit!$V$8,Wirtschaftlichkeit!$V$8,IF(AND($C53&lt;=Wirtschaftlichkeit!$V$8,$C53&gt;=Wirtschaftlichkeit!$V$8*Eingabemaske!$B$18),$C53,"0"))</f>
        <v>0</v>
      </c>
      <c r="FB53" s="222">
        <v>3504</v>
      </c>
      <c r="FC53" s="224">
        <f t="shared" si="46"/>
        <v>0</v>
      </c>
      <c r="FD53" s="222">
        <v>3504</v>
      </c>
      <c r="FE53" s="226" t="str">
        <f t="shared" si="47"/>
        <v xml:space="preserve"> </v>
      </c>
      <c r="FF53" s="312">
        <v>3504</v>
      </c>
      <c r="FG53" s="286">
        <f>FA53*Wirtschaftlichkeit!$V$5/Wirtschaftlichkeit!$V$7</f>
        <v>0</v>
      </c>
      <c r="FH53" s="284">
        <f t="shared" si="48"/>
        <v>0</v>
      </c>
      <c r="FJ53" s="222">
        <v>3504</v>
      </c>
      <c r="FK53" s="225" t="str">
        <f>IF($C53&gt;=Wirtschaftlichkeit!$W$8,Wirtschaftlichkeit!$W$8,IF(AND($C53&lt;=Wirtschaftlichkeit!$W$8,$C53&gt;=Wirtschaftlichkeit!$W$8*Eingabemaske!$B$18),$C53,"0"))</f>
        <v>0</v>
      </c>
      <c r="FL53" s="222">
        <v>3504</v>
      </c>
      <c r="FM53" s="224">
        <f t="shared" si="49"/>
        <v>0</v>
      </c>
      <c r="FN53" s="222">
        <v>3504</v>
      </c>
      <c r="FO53" s="226" t="str">
        <f t="shared" si="50"/>
        <v xml:space="preserve"> </v>
      </c>
      <c r="FP53" s="312">
        <v>3504</v>
      </c>
      <c r="FQ53" s="286">
        <f>FK53*Wirtschaftlichkeit!$W$5/Wirtschaftlichkeit!$W$7</f>
        <v>0</v>
      </c>
      <c r="FR53" s="284">
        <f t="shared" si="51"/>
        <v>0</v>
      </c>
      <c r="FT53" s="222">
        <v>3504</v>
      </c>
      <c r="FU53" s="225" t="str">
        <f>IF($C53&gt;=Wirtschaftlichkeit!$X$8,Wirtschaftlichkeit!$X$8,IF(AND($C53&lt;=Wirtschaftlichkeit!$X$8,$C53&gt;=Wirtschaftlichkeit!$X$8*Eingabemaske!$B$18),$C53,"0"))</f>
        <v>0</v>
      </c>
      <c r="FV53" s="222">
        <v>3504</v>
      </c>
      <c r="FW53" s="224">
        <f t="shared" si="52"/>
        <v>0</v>
      </c>
      <c r="FX53" s="222">
        <v>3504</v>
      </c>
      <c r="FY53" s="226" t="str">
        <f t="shared" si="53"/>
        <v xml:space="preserve"> </v>
      </c>
      <c r="FZ53" s="312">
        <v>3504</v>
      </c>
      <c r="GA53" s="286">
        <f>FU53*Wirtschaftlichkeit!$X$5/Wirtschaftlichkeit!$X$7</f>
        <v>0</v>
      </c>
      <c r="GB53" s="284">
        <f t="shared" si="54"/>
        <v>0</v>
      </c>
      <c r="GD53" s="222">
        <v>3504</v>
      </c>
      <c r="GE53" s="225" t="str">
        <f>IF($C53&gt;=Wirtschaftlichkeit!$Y$8,Wirtschaftlichkeit!$Y$8,IF(AND($C53&lt;=Wirtschaftlichkeit!$Y$8,$C53&gt;=Wirtschaftlichkeit!$Y$8*Eingabemaske!$B$18),$C53,"0"))</f>
        <v>0</v>
      </c>
      <c r="GF53" s="222">
        <v>3504</v>
      </c>
      <c r="GG53" s="224">
        <f t="shared" si="55"/>
        <v>0</v>
      </c>
      <c r="GH53" s="222">
        <v>3504</v>
      </c>
      <c r="GI53" s="226" t="str">
        <f t="shared" si="56"/>
        <v xml:space="preserve"> </v>
      </c>
      <c r="GJ53" s="312">
        <v>3504</v>
      </c>
      <c r="GK53" s="286">
        <f>GE53*Wirtschaftlichkeit!$Y$5/Wirtschaftlichkeit!$Y$7</f>
        <v>0</v>
      </c>
      <c r="GL53" s="284">
        <f t="shared" si="57"/>
        <v>0</v>
      </c>
      <c r="GN53" s="222">
        <v>3504</v>
      </c>
      <c r="GO53" s="225" t="str">
        <f>IF($C53&gt;=Wirtschaftlichkeit!$Z$8,Wirtschaftlichkeit!$Z$8,IF(AND($C53&lt;=Wirtschaftlichkeit!$Z$8,$C53&gt;=Wirtschaftlichkeit!$Z$8*Eingabemaske!$B$18),$C53,"0"))</f>
        <v>0</v>
      </c>
      <c r="GP53" s="222">
        <v>3504</v>
      </c>
      <c r="GQ53" s="224">
        <f t="shared" si="58"/>
        <v>0</v>
      </c>
      <c r="GR53" s="222">
        <v>3504</v>
      </c>
      <c r="GS53" s="226" t="str">
        <f t="shared" si="59"/>
        <v xml:space="preserve"> </v>
      </c>
      <c r="GT53" s="312">
        <v>3504</v>
      </c>
      <c r="GU53" s="286">
        <f>GO53*Wirtschaftlichkeit!$Z$5/Wirtschaftlichkeit!$Z$7</f>
        <v>0</v>
      </c>
      <c r="GV53" s="284">
        <f t="shared" si="60"/>
        <v>0</v>
      </c>
      <c r="GW53" s="266"/>
      <c r="GX53" s="258">
        <v>3504</v>
      </c>
      <c r="GY53" s="270">
        <f>IF(Berechnung_Diagramme!$C$28=Berechnungen_Lastgang!$F$2,Berechnungen_Lastgang!G53,IF(Berechnung_Diagramme!$C$28=Berechnungen_Lastgang!$P$2,Berechnungen_Lastgang!Q53,IF(Berechnung_Diagramme!$C$28=Berechnungen_Lastgang!$Z$2,Berechnungen_Lastgang!AA53,IF(Berechnung_Diagramme!$C$28=Berechnungen_Lastgang!$AJ$2,Berechnungen_Lastgang!AK53,IF(Berechnung_Diagramme!$C$28=Berechnungen_Lastgang!$AT$2,Berechnungen_Lastgang!AU53,IF(Berechnung_Diagramme!$C$28=Berechnungen_Lastgang!$BD$2,Berechnungen_Lastgang!BE53,IF(Berechnung_Diagramme!$C$28=Berechnungen_Lastgang!$BN$2,Berechnungen_Lastgang!BO53,IF(Berechnung_Diagramme!$C$28=Berechnungen_Lastgang!$BX$2,Berechnungen_Lastgang!BY53,IF(Berechnung_Diagramme!$C$28=Berechnungen_Lastgang!$CH$2,Berechnungen_Lastgang!CI53,IF(Berechnung_Diagramme!$C$28=Berechnungen_Lastgang!$CR$2,Berechnungen_Lastgang!CS53,IF(Berechnung_Diagramme!$C$28=Berechnungen_Lastgang!$DB$2,Berechnungen_Lastgang!DC53,IF(Berechnung_Diagramme!$C$28=Berechnungen_Lastgang!$DL$2,Berechnungen_Lastgang!DM53,IF(Berechnung_Diagramme!$C$28=Berechnungen_Lastgang!$DV$2,Berechnungen_Lastgang!DW53,IF(Berechnung_Diagramme!$C$28=Berechnungen_Lastgang!$EF$2,Berechnungen_Lastgang!EG53,IF(Berechnung_Diagramme!$C$28=Berechnungen_Lastgang!$EP$2,Berechnungen_Lastgang!EQ53,IF(Berechnung_Diagramme!$C$28=Berechnungen_Lastgang!$EZ$2,Berechnungen_Lastgang!FA53,IF(Berechnung_Diagramme!$C$28=Berechnungen_Lastgang!$FJ$2,Berechnungen_Lastgang!FK53,IF(Berechnung_Diagramme!$C$28=Berechnungen_Lastgang!$FT$2,Berechnungen_Lastgang!FU53,IF(Berechnung_Diagramme!$C$28=Berechnungen_Lastgang!$GD$2,Berechnungen_Lastgang!GE53,IF(Berechnung_Diagramme!$C$28=Berechnungen_Lastgang!$GN$2,Berechnungen_Lastgang!GO53,""))))))))))))))))))))</f>
        <v>13.123799999999999</v>
      </c>
    </row>
    <row r="54" spans="2:207" x14ac:dyDescent="0.25">
      <c r="B54" s="64">
        <v>3577</v>
      </c>
      <c r="C54" s="67">
        <f>C53+((C55-C53)/(B55-B53))*(B54-B53)</f>
        <v>12.658049999999999</v>
      </c>
      <c r="D54" s="66">
        <f t="shared" si="61"/>
        <v>907.03777500000001</v>
      </c>
      <c r="F54" s="64">
        <v>3577</v>
      </c>
      <c r="G54" s="225">
        <f>IF($C54&gt;=Wirtschaftlichkeit!$G$8,Wirtschaftlichkeit!$G$8,IF(AND($C54&lt;=Wirtschaftlichkeit!$G$8,$C54&gt;=Wirtschaftlichkeit!$G$8*Eingabemaske!$B$18),$C54,"0"))</f>
        <v>2.8333333333333335</v>
      </c>
      <c r="H54" s="64">
        <v>3577</v>
      </c>
      <c r="I54" s="66">
        <f t="shared" si="62"/>
        <v>206.83333333333334</v>
      </c>
      <c r="J54" s="64">
        <v>3577</v>
      </c>
      <c r="K54" s="71">
        <f t="shared" si="63"/>
        <v>2.8333333333333335</v>
      </c>
      <c r="L54" s="312">
        <v>3577</v>
      </c>
      <c r="M54" s="286">
        <f>G54*Wirtschaftlichkeit!$G$5/Wirtschaftlichkeit!$G$7</f>
        <v>1</v>
      </c>
      <c r="N54" s="284">
        <f t="shared" si="3"/>
        <v>73</v>
      </c>
      <c r="P54" s="222">
        <v>3577</v>
      </c>
      <c r="Q54" s="225">
        <f>IF($C54&gt;=Wirtschaftlichkeit!$H$8,Wirtschaftlichkeit!$H$8,IF(AND($C54&lt;=Wirtschaftlichkeit!$H$8,$C54&gt;=Wirtschaftlichkeit!$H$8*Eingabemaske!$B$18),$C54,"0"))</f>
        <v>5.5876288659793811</v>
      </c>
      <c r="R54" s="222">
        <v>3577</v>
      </c>
      <c r="S54" s="224">
        <f t="shared" si="4"/>
        <v>407.89690721649481</v>
      </c>
      <c r="T54" s="222">
        <v>3577</v>
      </c>
      <c r="U54" s="226">
        <f t="shared" si="5"/>
        <v>5.5876288659793811</v>
      </c>
      <c r="V54" s="312">
        <v>3577</v>
      </c>
      <c r="W54" s="286">
        <f>Q54*Wirtschaftlichkeit!$H$5/Wirtschaftlichkeit!$H$7</f>
        <v>2</v>
      </c>
      <c r="X54" s="284">
        <f t="shared" si="6"/>
        <v>146</v>
      </c>
      <c r="Z54" s="222">
        <v>3577</v>
      </c>
      <c r="AA54" s="225">
        <f>IF($C54&gt;=Wirtschaftlichkeit!$I$8,Wirtschaftlichkeit!$I$8,IF(AND($C54&lt;=Wirtschaftlichkeit!$I$8,$C54&gt;=Wirtschaftlichkeit!$I$8*Eingabemaske!$B$18),$C54,"0"))</f>
        <v>8.2471643149712612</v>
      </c>
      <c r="AB54" s="222">
        <v>3577</v>
      </c>
      <c r="AC54" s="224">
        <f t="shared" si="7"/>
        <v>602.04299499290209</v>
      </c>
      <c r="AD54" s="222">
        <v>3577</v>
      </c>
      <c r="AE54" s="226">
        <f t="shared" si="8"/>
        <v>8.2471643149712612</v>
      </c>
      <c r="AF54" s="312">
        <v>3577</v>
      </c>
      <c r="AG54" s="286">
        <f>AA54*Wirtschaftlichkeit!$I$5/Wirtschaftlichkeit!$I$7</f>
        <v>3.0000000000000004</v>
      </c>
      <c r="AH54" s="284">
        <f t="shared" si="9"/>
        <v>219.00000000000003</v>
      </c>
      <c r="AJ54" s="222">
        <v>3577</v>
      </c>
      <c r="AK54" s="225">
        <f>IF($C54&gt;=Wirtschaftlichkeit!$J$8,Wirtschaftlichkeit!$J$8,IF(AND($C54&lt;=Wirtschaftlichkeit!$J$8,$C54&gt;=Wirtschaftlichkeit!$J$8*Eingabemaske!$B$18),$C54,"0"))</f>
        <v>10.537455322965799</v>
      </c>
      <c r="AL54" s="222">
        <v>3577</v>
      </c>
      <c r="AM54" s="224">
        <f t="shared" si="10"/>
        <v>769.23423857650334</v>
      </c>
      <c r="AN54" s="222">
        <v>3577</v>
      </c>
      <c r="AO54" s="226">
        <f t="shared" si="11"/>
        <v>10.537455322965799</v>
      </c>
      <c r="AP54" s="312">
        <v>3577</v>
      </c>
      <c r="AQ54" s="286">
        <f>AK54*Wirtschaftlichkeit!$J$5/Wirtschaftlichkeit!$J$7</f>
        <v>4</v>
      </c>
      <c r="AR54" s="284">
        <f t="shared" si="12"/>
        <v>292</v>
      </c>
      <c r="AT54" s="222">
        <v>3577</v>
      </c>
      <c r="AU54" s="225">
        <f>IF($C54&gt;=Wirtschaftlichkeit!$K$8,Wirtschaftlichkeit!$K$8,IF(AND($C54&lt;=Wirtschaftlichkeit!$K$8,$C54&gt;=Wirtschaftlichkeit!$K$8*Eingabemaske!$B$18),$C54,"0"))</f>
        <v>12.658049999999999</v>
      </c>
      <c r="AV54" s="222">
        <v>3577</v>
      </c>
      <c r="AW54" s="224">
        <f t="shared" si="13"/>
        <v>907.03777500000001</v>
      </c>
      <c r="AX54" s="222">
        <v>3577</v>
      </c>
      <c r="AY54" s="226">
        <f t="shared" si="14"/>
        <v>12.658049999999999</v>
      </c>
      <c r="AZ54" s="312">
        <v>3577</v>
      </c>
      <c r="BA54" s="286">
        <f>AU54*Wirtschaftlichkeit!$K$5/Wirtschaftlichkeit!$K$7</f>
        <v>4.968179845635464</v>
      </c>
      <c r="BB54" s="284">
        <f t="shared" si="15"/>
        <v>356.00481851351782</v>
      </c>
      <c r="BD54" s="222">
        <v>3577</v>
      </c>
      <c r="BE54" s="225">
        <f>IF($C54&gt;=Wirtschaftlichkeit!$L$8,Wirtschaftlichkeit!$L$8,IF(AND($C54&lt;=Wirtschaftlichkeit!$L$8,$C54&gt;=Wirtschaftlichkeit!$L$8*Eingabemaske!$B$18),$C54,"0"))</f>
        <v>12.658049999999999</v>
      </c>
      <c r="BF54" s="222">
        <v>3577</v>
      </c>
      <c r="BG54" s="224">
        <f t="shared" si="16"/>
        <v>907.03777500000001</v>
      </c>
      <c r="BH54" s="222">
        <v>3577</v>
      </c>
      <c r="BI54" s="226">
        <f t="shared" si="17"/>
        <v>12.658049999999999</v>
      </c>
      <c r="BJ54" s="312">
        <v>3577</v>
      </c>
      <c r="BK54" s="286">
        <f>BE54*Wirtschaftlichkeit!$L$5/Wirtschaftlichkeit!$L$7</f>
        <v>5.106835470768365</v>
      </c>
      <c r="BL54" s="284">
        <f t="shared" si="18"/>
        <v>365.9404633965591</v>
      </c>
      <c r="BN54" s="222">
        <v>3577</v>
      </c>
      <c r="BO54" s="225">
        <f>IF($C54&gt;=Wirtschaftlichkeit!$M$8,Wirtschaftlichkeit!$M$8,IF(AND($C54&lt;=Wirtschaftlichkeit!$M$8,$C54&gt;=Wirtschaftlichkeit!$M$8*Eingabemaske!$B$18),$C54,"0"))</f>
        <v>12.658049999999999</v>
      </c>
      <c r="BP54" s="222">
        <v>3577</v>
      </c>
      <c r="BQ54" s="224">
        <f t="shared" si="19"/>
        <v>907.03777500000001</v>
      </c>
      <c r="BR54" s="222">
        <v>3577</v>
      </c>
      <c r="BS54" s="226">
        <f t="shared" si="20"/>
        <v>12.658049999999999</v>
      </c>
      <c r="BT54" s="312">
        <v>3577</v>
      </c>
      <c r="BU54" s="286">
        <f>BO54*Wirtschaftlichkeit!$M$5/Wirtschaftlichkeit!$M$7</f>
        <v>5.2279756608653836</v>
      </c>
      <c r="BV54" s="284">
        <f t="shared" si="21"/>
        <v>374.62100490877282</v>
      </c>
      <c r="BX54" s="222">
        <v>3577</v>
      </c>
      <c r="BY54" s="225">
        <f>IF($C54&gt;=Wirtschaftlichkeit!$N$8,Wirtschaftlichkeit!$N$8,IF(AND($C54&lt;=Wirtschaftlichkeit!$N$8,$C54&gt;=Wirtschaftlichkeit!$N$8*Eingabemaske!$B$18),$C54,"0"))</f>
        <v>12.658049999999999</v>
      </c>
      <c r="BZ54" s="222">
        <v>3577</v>
      </c>
      <c r="CA54" s="224">
        <f t="shared" si="22"/>
        <v>907.03777500000001</v>
      </c>
      <c r="CB54" s="222">
        <v>3577</v>
      </c>
      <c r="CC54" s="226">
        <f t="shared" si="23"/>
        <v>12.658049999999999</v>
      </c>
      <c r="CD54" s="312">
        <v>3577</v>
      </c>
      <c r="CE54" s="286">
        <f>BY54*Wirtschaftlichkeit!$N$5/Wirtschaftlichkeit!$N$7</f>
        <v>5.3359290854700552</v>
      </c>
      <c r="CF54" s="284">
        <f t="shared" si="24"/>
        <v>382.35662248470692</v>
      </c>
      <c r="CH54" s="222">
        <v>3577</v>
      </c>
      <c r="CI54" s="225">
        <f>IF($C54&gt;=Wirtschaftlichkeit!$O$8,Wirtschaftlichkeit!$O$8,IF(AND($C54&lt;=Wirtschaftlichkeit!$O$8,$C54&gt;=Wirtschaftlichkeit!$O$8*Eingabemaske!$B$18),$C54,"0"))</f>
        <v>12.658049999999999</v>
      </c>
      <c r="CJ54" s="222">
        <v>3577</v>
      </c>
      <c r="CK54" s="224">
        <f t="shared" si="25"/>
        <v>907.03777500000001</v>
      </c>
      <c r="CL54" s="222">
        <v>3577</v>
      </c>
      <c r="CM54" s="226">
        <f t="shared" si="26"/>
        <v>12.658049999999999</v>
      </c>
      <c r="CN54" s="312">
        <v>3577</v>
      </c>
      <c r="CO54" s="286">
        <f>CI54*Wirtschaftlichkeit!$O$5/Wirtschaftlichkeit!$O$7</f>
        <v>5.4335610770317757</v>
      </c>
      <c r="CP54" s="284">
        <f t="shared" si="27"/>
        <v>389.352637225916</v>
      </c>
      <c r="CR54" s="222">
        <v>3577</v>
      </c>
      <c r="CS54" s="225">
        <f>IF($C54&gt;=Wirtschaftlichkeit!$P$8,Wirtschaftlichkeit!$P$8,IF(AND($C54&lt;=Wirtschaftlichkeit!$P$8,$C54&gt;=Wirtschaftlichkeit!$P$8*Eingabemaske!$B$18),$C54,"0"))</f>
        <v>12.658049999999999</v>
      </c>
      <c r="CT54" s="222">
        <v>3577</v>
      </c>
      <c r="CU54" s="224">
        <f t="shared" si="28"/>
        <v>907.03777500000001</v>
      </c>
      <c r="CV54" s="222">
        <v>3577</v>
      </c>
      <c r="CW54" s="226">
        <f t="shared" si="29"/>
        <v>12.658049999999999</v>
      </c>
      <c r="CX54" s="312">
        <v>3577</v>
      </c>
      <c r="CY54" s="286">
        <f>CS54*Wirtschaftlichkeit!$P$5/Wirtschaftlichkeit!$P$7</f>
        <v>5.5228728189878336</v>
      </c>
      <c r="CZ54" s="284">
        <f t="shared" si="30"/>
        <v>395.75244791596668</v>
      </c>
      <c r="DB54" s="222">
        <v>3577</v>
      </c>
      <c r="DC54" s="225">
        <f>IF($C54&gt;=Wirtschaftlichkeit!$Q$8,Wirtschaftlichkeit!$Q$8,IF(AND($C54&lt;=Wirtschaftlichkeit!$Q$8,$C54&gt;=Wirtschaftlichkeit!$Q$8*Eingabemaske!$B$18),$C54,"0"))</f>
        <v>12.658049999999999</v>
      </c>
      <c r="DD54" s="222">
        <v>3577</v>
      </c>
      <c r="DE54" s="224">
        <f t="shared" si="31"/>
        <v>907.03777500000001</v>
      </c>
      <c r="DF54" s="222">
        <v>3577</v>
      </c>
      <c r="DG54" s="226">
        <f t="shared" si="32"/>
        <v>12.658049999999999</v>
      </c>
      <c r="DH54" s="312">
        <v>3577</v>
      </c>
      <c r="DI54" s="286">
        <f>DC54*Wirtschaftlichkeit!$Q$5/Wirtschaftlichkeit!$Q$7</f>
        <v>5.7957336312379484</v>
      </c>
      <c r="DJ54" s="284">
        <f t="shared" si="33"/>
        <v>415.30483268518765</v>
      </c>
      <c r="DL54" s="222">
        <v>3577</v>
      </c>
      <c r="DM54" s="225" t="str">
        <f>IF($C54&gt;=Wirtschaftlichkeit!$R$8,Wirtschaftlichkeit!$R$8,IF(AND($C54&lt;=Wirtschaftlichkeit!$R$8,$C54&gt;=Wirtschaftlichkeit!$R$8*Eingabemaske!$B$18),$C54,"0"))</f>
        <v>0</v>
      </c>
      <c r="DN54" s="222">
        <v>3577</v>
      </c>
      <c r="DO54" s="224">
        <f t="shared" si="34"/>
        <v>0</v>
      </c>
      <c r="DP54" s="222">
        <v>3577</v>
      </c>
      <c r="DQ54" s="226" t="str">
        <f t="shared" si="35"/>
        <v xml:space="preserve"> </v>
      </c>
      <c r="DR54" s="312">
        <v>3577</v>
      </c>
      <c r="DS54" s="286">
        <f>DM54*Wirtschaftlichkeit!$R$5/Wirtschaftlichkeit!$R$7</f>
        <v>0</v>
      </c>
      <c r="DT54" s="284">
        <f t="shared" si="36"/>
        <v>0</v>
      </c>
      <c r="DV54" s="222">
        <v>3577</v>
      </c>
      <c r="DW54" s="225" t="str">
        <f>IF($C54&gt;=Wirtschaftlichkeit!$S$8,Wirtschaftlichkeit!$S$8,IF(AND($C54&lt;=Wirtschaftlichkeit!$S$8,$C54&gt;=Wirtschaftlichkeit!$S$8*Eingabemaske!$B$18),$C54,"0"))</f>
        <v>0</v>
      </c>
      <c r="DX54" s="222">
        <v>3577</v>
      </c>
      <c r="DY54" s="224">
        <f t="shared" si="37"/>
        <v>0</v>
      </c>
      <c r="DZ54" s="222">
        <v>3577</v>
      </c>
      <c r="EA54" s="226" t="str">
        <f t="shared" si="38"/>
        <v xml:space="preserve"> </v>
      </c>
      <c r="EB54" s="312">
        <v>3577</v>
      </c>
      <c r="EC54" s="286">
        <f>DW54*Wirtschaftlichkeit!$S$5/Wirtschaftlichkeit!$S$7</f>
        <v>0</v>
      </c>
      <c r="ED54" s="284">
        <f t="shared" si="39"/>
        <v>0</v>
      </c>
      <c r="EF54" s="222">
        <v>3577</v>
      </c>
      <c r="EG54" s="225" t="str">
        <f>IF($C54&gt;=Wirtschaftlichkeit!$T$8,Wirtschaftlichkeit!$T$8,IF(AND($C54&lt;=Wirtschaftlichkeit!$T$8,$C54&gt;=Wirtschaftlichkeit!$T$8*Eingabemaske!$B$18),$C54,"0"))</f>
        <v>0</v>
      </c>
      <c r="EH54" s="222">
        <v>3577</v>
      </c>
      <c r="EI54" s="224">
        <f t="shared" si="40"/>
        <v>0</v>
      </c>
      <c r="EJ54" s="222">
        <v>3577</v>
      </c>
      <c r="EK54" s="226" t="str">
        <f t="shared" si="41"/>
        <v xml:space="preserve"> </v>
      </c>
      <c r="EL54" s="312">
        <v>3577</v>
      </c>
      <c r="EM54" s="286">
        <f>EG54*Wirtschaftlichkeit!$T$5/Wirtschaftlichkeit!$T$7</f>
        <v>0</v>
      </c>
      <c r="EN54" s="284">
        <f t="shared" si="42"/>
        <v>0</v>
      </c>
      <c r="EP54" s="222">
        <v>3577</v>
      </c>
      <c r="EQ54" s="225" t="str">
        <f>IF($C54&gt;=Wirtschaftlichkeit!$U$8,Wirtschaftlichkeit!$U$8,IF(AND($C54&lt;=Wirtschaftlichkeit!$U$8,$C54&gt;=Wirtschaftlichkeit!$U$8*Eingabemaske!$B$18),$C54,"0"))</f>
        <v>0</v>
      </c>
      <c r="ER54" s="222">
        <v>3577</v>
      </c>
      <c r="ES54" s="224">
        <f t="shared" si="43"/>
        <v>0</v>
      </c>
      <c r="ET54" s="222">
        <v>3577</v>
      </c>
      <c r="EU54" s="226" t="str">
        <f t="shared" si="44"/>
        <v xml:space="preserve"> </v>
      </c>
      <c r="EV54" s="312">
        <v>3577</v>
      </c>
      <c r="EW54" s="286">
        <f>EQ54*Wirtschaftlichkeit!$U$5/Wirtschaftlichkeit!$U$7</f>
        <v>0</v>
      </c>
      <c r="EX54" s="284">
        <f t="shared" si="45"/>
        <v>0</v>
      </c>
      <c r="EZ54" s="222">
        <v>3577</v>
      </c>
      <c r="FA54" s="225" t="str">
        <f>IF($C54&gt;=Wirtschaftlichkeit!$V$8,Wirtschaftlichkeit!$V$8,IF(AND($C54&lt;=Wirtschaftlichkeit!$V$8,$C54&gt;=Wirtschaftlichkeit!$V$8*Eingabemaske!$B$18),$C54,"0"))</f>
        <v>0</v>
      </c>
      <c r="FB54" s="222">
        <v>3577</v>
      </c>
      <c r="FC54" s="224">
        <f t="shared" si="46"/>
        <v>0</v>
      </c>
      <c r="FD54" s="222">
        <v>3577</v>
      </c>
      <c r="FE54" s="226" t="str">
        <f t="shared" si="47"/>
        <v xml:space="preserve"> </v>
      </c>
      <c r="FF54" s="312">
        <v>3577</v>
      </c>
      <c r="FG54" s="286">
        <f>FA54*Wirtschaftlichkeit!$V$5/Wirtschaftlichkeit!$V$7</f>
        <v>0</v>
      </c>
      <c r="FH54" s="284">
        <f t="shared" si="48"/>
        <v>0</v>
      </c>
      <c r="FJ54" s="222">
        <v>3577</v>
      </c>
      <c r="FK54" s="225" t="str">
        <f>IF($C54&gt;=Wirtschaftlichkeit!$W$8,Wirtschaftlichkeit!$W$8,IF(AND($C54&lt;=Wirtschaftlichkeit!$W$8,$C54&gt;=Wirtschaftlichkeit!$W$8*Eingabemaske!$B$18),$C54,"0"))</f>
        <v>0</v>
      </c>
      <c r="FL54" s="222">
        <v>3577</v>
      </c>
      <c r="FM54" s="224">
        <f t="shared" si="49"/>
        <v>0</v>
      </c>
      <c r="FN54" s="222">
        <v>3577</v>
      </c>
      <c r="FO54" s="226" t="str">
        <f t="shared" si="50"/>
        <v xml:space="preserve"> </v>
      </c>
      <c r="FP54" s="312">
        <v>3577</v>
      </c>
      <c r="FQ54" s="286">
        <f>FK54*Wirtschaftlichkeit!$W$5/Wirtschaftlichkeit!$W$7</f>
        <v>0</v>
      </c>
      <c r="FR54" s="284">
        <f t="shared" si="51"/>
        <v>0</v>
      </c>
      <c r="FT54" s="222">
        <v>3577</v>
      </c>
      <c r="FU54" s="225" t="str">
        <f>IF($C54&gt;=Wirtschaftlichkeit!$X$8,Wirtschaftlichkeit!$X$8,IF(AND($C54&lt;=Wirtschaftlichkeit!$X$8,$C54&gt;=Wirtschaftlichkeit!$X$8*Eingabemaske!$B$18),$C54,"0"))</f>
        <v>0</v>
      </c>
      <c r="FV54" s="222">
        <v>3577</v>
      </c>
      <c r="FW54" s="224">
        <f t="shared" si="52"/>
        <v>0</v>
      </c>
      <c r="FX54" s="222">
        <v>3577</v>
      </c>
      <c r="FY54" s="226" t="str">
        <f t="shared" si="53"/>
        <v xml:space="preserve"> </v>
      </c>
      <c r="FZ54" s="312">
        <v>3577</v>
      </c>
      <c r="GA54" s="286">
        <f>FU54*Wirtschaftlichkeit!$X$5/Wirtschaftlichkeit!$X$7</f>
        <v>0</v>
      </c>
      <c r="GB54" s="284">
        <f t="shared" si="54"/>
        <v>0</v>
      </c>
      <c r="GD54" s="222">
        <v>3577</v>
      </c>
      <c r="GE54" s="225" t="str">
        <f>IF($C54&gt;=Wirtschaftlichkeit!$Y$8,Wirtschaftlichkeit!$Y$8,IF(AND($C54&lt;=Wirtschaftlichkeit!$Y$8,$C54&gt;=Wirtschaftlichkeit!$Y$8*Eingabemaske!$B$18),$C54,"0"))</f>
        <v>0</v>
      </c>
      <c r="GF54" s="222">
        <v>3577</v>
      </c>
      <c r="GG54" s="224">
        <f t="shared" si="55"/>
        <v>0</v>
      </c>
      <c r="GH54" s="222">
        <v>3577</v>
      </c>
      <c r="GI54" s="226" t="str">
        <f t="shared" si="56"/>
        <v xml:space="preserve"> </v>
      </c>
      <c r="GJ54" s="312">
        <v>3577</v>
      </c>
      <c r="GK54" s="286">
        <f>GE54*Wirtschaftlichkeit!$Y$5/Wirtschaftlichkeit!$Y$7</f>
        <v>0</v>
      </c>
      <c r="GL54" s="284">
        <f t="shared" si="57"/>
        <v>0</v>
      </c>
      <c r="GN54" s="222">
        <v>3577</v>
      </c>
      <c r="GO54" s="225" t="str">
        <f>IF($C54&gt;=Wirtschaftlichkeit!$Z$8,Wirtschaftlichkeit!$Z$8,IF(AND($C54&lt;=Wirtschaftlichkeit!$Z$8,$C54&gt;=Wirtschaftlichkeit!$Z$8*Eingabemaske!$B$18),$C54,"0"))</f>
        <v>0</v>
      </c>
      <c r="GP54" s="222">
        <v>3577</v>
      </c>
      <c r="GQ54" s="224">
        <f t="shared" si="58"/>
        <v>0</v>
      </c>
      <c r="GR54" s="222">
        <v>3577</v>
      </c>
      <c r="GS54" s="226" t="str">
        <f t="shared" si="59"/>
        <v xml:space="preserve"> </v>
      </c>
      <c r="GT54" s="312">
        <v>3577</v>
      </c>
      <c r="GU54" s="286">
        <f>GO54*Wirtschaftlichkeit!$Z$5/Wirtschaftlichkeit!$Z$7</f>
        <v>0</v>
      </c>
      <c r="GV54" s="284">
        <f t="shared" si="60"/>
        <v>0</v>
      </c>
      <c r="GW54" s="266"/>
      <c r="GX54" s="258">
        <v>3577</v>
      </c>
      <c r="GY54" s="270">
        <f>IF(Berechnung_Diagramme!$C$28=Berechnungen_Lastgang!$F$2,Berechnungen_Lastgang!G54,IF(Berechnung_Diagramme!$C$28=Berechnungen_Lastgang!$P$2,Berechnungen_Lastgang!Q54,IF(Berechnung_Diagramme!$C$28=Berechnungen_Lastgang!$Z$2,Berechnungen_Lastgang!AA54,IF(Berechnung_Diagramme!$C$28=Berechnungen_Lastgang!$AJ$2,Berechnungen_Lastgang!AK54,IF(Berechnung_Diagramme!$C$28=Berechnungen_Lastgang!$AT$2,Berechnungen_Lastgang!AU54,IF(Berechnung_Diagramme!$C$28=Berechnungen_Lastgang!$BD$2,Berechnungen_Lastgang!BE54,IF(Berechnung_Diagramme!$C$28=Berechnungen_Lastgang!$BN$2,Berechnungen_Lastgang!BO54,IF(Berechnung_Diagramme!$C$28=Berechnungen_Lastgang!$BX$2,Berechnungen_Lastgang!BY54,IF(Berechnung_Diagramme!$C$28=Berechnungen_Lastgang!$CH$2,Berechnungen_Lastgang!CI54,IF(Berechnung_Diagramme!$C$28=Berechnungen_Lastgang!$CR$2,Berechnungen_Lastgang!CS54,IF(Berechnung_Diagramme!$C$28=Berechnungen_Lastgang!$DB$2,Berechnungen_Lastgang!DC54,IF(Berechnung_Diagramme!$C$28=Berechnungen_Lastgang!$DL$2,Berechnungen_Lastgang!DM54,IF(Berechnung_Diagramme!$C$28=Berechnungen_Lastgang!$DV$2,Berechnungen_Lastgang!DW54,IF(Berechnung_Diagramme!$C$28=Berechnungen_Lastgang!$EF$2,Berechnungen_Lastgang!EG54,IF(Berechnung_Diagramme!$C$28=Berechnungen_Lastgang!$EP$2,Berechnungen_Lastgang!EQ54,IF(Berechnung_Diagramme!$C$28=Berechnungen_Lastgang!$EZ$2,Berechnungen_Lastgang!FA54,IF(Berechnung_Diagramme!$C$28=Berechnungen_Lastgang!$FJ$2,Berechnungen_Lastgang!FK54,IF(Berechnung_Diagramme!$C$28=Berechnungen_Lastgang!$FT$2,Berechnungen_Lastgang!FU54,IF(Berechnung_Diagramme!$C$28=Berechnungen_Lastgang!$GD$2,Berechnungen_Lastgang!GE54,IF(Berechnung_Diagramme!$C$28=Berechnungen_Lastgang!$GN$2,Berechnungen_Lastgang!GO54,""))))))))))))))))))))</f>
        <v>12.658049999999999</v>
      </c>
    </row>
    <row r="55" spans="2:207" x14ac:dyDescent="0.25">
      <c r="B55" s="64">
        <v>3650</v>
      </c>
      <c r="C55" s="67">
        <f>LARGE(Berechnung_Diagramme!$AB$5:$AB$16,6)</f>
        <v>12.192299999999999</v>
      </c>
      <c r="D55" s="66">
        <f t="shared" si="61"/>
        <v>888.37568999999996</v>
      </c>
      <c r="F55" s="64">
        <v>3650</v>
      </c>
      <c r="G55" s="225">
        <f>IF($C55&gt;=Wirtschaftlichkeit!$G$8,Wirtschaftlichkeit!$G$8,IF(AND($C55&lt;=Wirtschaftlichkeit!$G$8,$C55&gt;=Wirtschaftlichkeit!$G$8*Eingabemaske!$B$18),$C55,"0"))</f>
        <v>2.8333333333333335</v>
      </c>
      <c r="H55" s="64">
        <v>3650</v>
      </c>
      <c r="I55" s="66">
        <f t="shared" si="62"/>
        <v>206.83333333333334</v>
      </c>
      <c r="J55" s="64">
        <v>3650</v>
      </c>
      <c r="K55" s="71">
        <f t="shared" si="63"/>
        <v>2.8333333333333335</v>
      </c>
      <c r="L55" s="312">
        <v>3650</v>
      </c>
      <c r="M55" s="286">
        <f>G55*Wirtschaftlichkeit!$G$5/Wirtschaftlichkeit!$G$7</f>
        <v>1</v>
      </c>
      <c r="N55" s="284">
        <f t="shared" si="3"/>
        <v>73</v>
      </c>
      <c r="P55" s="222">
        <v>3650</v>
      </c>
      <c r="Q55" s="225">
        <f>IF($C55&gt;=Wirtschaftlichkeit!$H$8,Wirtschaftlichkeit!$H$8,IF(AND($C55&lt;=Wirtschaftlichkeit!$H$8,$C55&gt;=Wirtschaftlichkeit!$H$8*Eingabemaske!$B$18),$C55,"0"))</f>
        <v>5.5876288659793811</v>
      </c>
      <c r="R55" s="222">
        <v>3650</v>
      </c>
      <c r="S55" s="224">
        <f t="shared" si="4"/>
        <v>407.89690721649481</v>
      </c>
      <c r="T55" s="222">
        <v>3650</v>
      </c>
      <c r="U55" s="226">
        <f t="shared" si="5"/>
        <v>5.5876288659793811</v>
      </c>
      <c r="V55" s="312">
        <v>3650</v>
      </c>
      <c r="W55" s="286">
        <f>Q55*Wirtschaftlichkeit!$H$5/Wirtschaftlichkeit!$H$7</f>
        <v>2</v>
      </c>
      <c r="X55" s="284">
        <f t="shared" si="6"/>
        <v>146</v>
      </c>
      <c r="Z55" s="222">
        <v>3650</v>
      </c>
      <c r="AA55" s="225">
        <f>IF($C55&gt;=Wirtschaftlichkeit!$I$8,Wirtschaftlichkeit!$I$8,IF(AND($C55&lt;=Wirtschaftlichkeit!$I$8,$C55&gt;=Wirtschaftlichkeit!$I$8*Eingabemaske!$B$18),$C55,"0"))</f>
        <v>8.2471643149712612</v>
      </c>
      <c r="AB55" s="222">
        <v>3650</v>
      </c>
      <c r="AC55" s="224">
        <f t="shared" si="7"/>
        <v>602.04299499290209</v>
      </c>
      <c r="AD55" s="222">
        <v>3650</v>
      </c>
      <c r="AE55" s="226">
        <f t="shared" si="8"/>
        <v>8.2471643149712612</v>
      </c>
      <c r="AF55" s="312">
        <v>3650</v>
      </c>
      <c r="AG55" s="286">
        <f>AA55*Wirtschaftlichkeit!$I$5/Wirtschaftlichkeit!$I$7</f>
        <v>3.0000000000000004</v>
      </c>
      <c r="AH55" s="284">
        <f t="shared" si="9"/>
        <v>219.00000000000003</v>
      </c>
      <c r="AJ55" s="222">
        <v>3650</v>
      </c>
      <c r="AK55" s="225">
        <f>IF($C55&gt;=Wirtschaftlichkeit!$J$8,Wirtschaftlichkeit!$J$8,IF(AND($C55&lt;=Wirtschaftlichkeit!$J$8,$C55&gt;=Wirtschaftlichkeit!$J$8*Eingabemaske!$B$18),$C55,"0"))</f>
        <v>10.537455322965799</v>
      </c>
      <c r="AL55" s="222">
        <v>3650</v>
      </c>
      <c r="AM55" s="224">
        <f t="shared" si="10"/>
        <v>769.23423857650334</v>
      </c>
      <c r="AN55" s="222">
        <v>3650</v>
      </c>
      <c r="AO55" s="226">
        <f t="shared" si="11"/>
        <v>10.537455322965799</v>
      </c>
      <c r="AP55" s="312">
        <v>3650</v>
      </c>
      <c r="AQ55" s="286">
        <f>AK55*Wirtschaftlichkeit!$J$5/Wirtschaftlichkeit!$J$7</f>
        <v>4</v>
      </c>
      <c r="AR55" s="284">
        <f t="shared" si="12"/>
        <v>292</v>
      </c>
      <c r="AT55" s="222">
        <v>3650</v>
      </c>
      <c r="AU55" s="225">
        <f>IF($C55&gt;=Wirtschaftlichkeit!$K$8,Wirtschaftlichkeit!$K$8,IF(AND($C55&lt;=Wirtschaftlichkeit!$K$8,$C55&gt;=Wirtschaftlichkeit!$K$8*Eingabemaske!$B$18),$C55,"0"))</f>
        <v>12.192299999999999</v>
      </c>
      <c r="AV55" s="222">
        <v>3650</v>
      </c>
      <c r="AW55" s="224">
        <f t="shared" si="13"/>
        <v>888.37568999999996</v>
      </c>
      <c r="AX55" s="222">
        <v>3650</v>
      </c>
      <c r="AY55" s="226">
        <f t="shared" si="14"/>
        <v>12.192299999999999</v>
      </c>
      <c r="AZ55" s="312">
        <v>3650</v>
      </c>
      <c r="BA55" s="286">
        <f>AU55*Wirtschaftlichkeit!$K$5/Wirtschaftlichkeit!$K$7</f>
        <v>4.7853768259677647</v>
      </c>
      <c r="BB55" s="284">
        <f t="shared" si="15"/>
        <v>348.68010462989946</v>
      </c>
      <c r="BD55" s="222">
        <v>3650</v>
      </c>
      <c r="BE55" s="225">
        <f>IF($C55&gt;=Wirtschaftlichkeit!$L$8,Wirtschaftlichkeit!$L$8,IF(AND($C55&lt;=Wirtschaftlichkeit!$L$8,$C55&gt;=Wirtschaftlichkeit!$L$8*Eingabemaske!$B$18),$C55,"0"))</f>
        <v>12.192299999999999</v>
      </c>
      <c r="BF55" s="222">
        <v>3650</v>
      </c>
      <c r="BG55" s="224">
        <f t="shared" si="16"/>
        <v>888.37568999999996</v>
      </c>
      <c r="BH55" s="222">
        <v>3650</v>
      </c>
      <c r="BI55" s="226">
        <f t="shared" si="17"/>
        <v>12.192299999999999</v>
      </c>
      <c r="BJ55" s="312">
        <v>3650</v>
      </c>
      <c r="BK55" s="286">
        <f>BE55*Wirtschaftlichkeit!$L$5/Wirtschaftlichkeit!$L$7</f>
        <v>4.9189306496853096</v>
      </c>
      <c r="BL55" s="284">
        <f t="shared" si="18"/>
        <v>358.41132599889568</v>
      </c>
      <c r="BN55" s="222">
        <v>3650</v>
      </c>
      <c r="BO55" s="225">
        <f>IF($C55&gt;=Wirtschaftlichkeit!$M$8,Wirtschaftlichkeit!$M$8,IF(AND($C55&lt;=Wirtschaftlichkeit!$M$8,$C55&gt;=Wirtschaftlichkeit!$M$8*Eingabemaske!$B$18),$C55,"0"))</f>
        <v>12.192299999999999</v>
      </c>
      <c r="BP55" s="222">
        <v>3650</v>
      </c>
      <c r="BQ55" s="224">
        <f t="shared" si="19"/>
        <v>888.37568999999996</v>
      </c>
      <c r="BR55" s="222">
        <v>3650</v>
      </c>
      <c r="BS55" s="226">
        <f t="shared" si="20"/>
        <v>12.192299999999999</v>
      </c>
      <c r="BT55" s="312">
        <v>3650</v>
      </c>
      <c r="BU55" s="286">
        <f>BO55*Wirtschaftlichkeit!$M$5/Wirtschaftlichkeit!$M$7</f>
        <v>5.0356135147174337</v>
      </c>
      <c r="BV55" s="284">
        <f t="shared" si="21"/>
        <v>366.91326744834242</v>
      </c>
      <c r="BX55" s="222">
        <v>3650</v>
      </c>
      <c r="BY55" s="225">
        <f>IF($C55&gt;=Wirtschaftlichkeit!$N$8,Wirtschaftlichkeit!$N$8,IF(AND($C55&lt;=Wirtschaftlichkeit!$N$8,$C55&gt;=Wirtschaftlichkeit!$N$8*Eingabemaske!$B$18),$C55,"0"))</f>
        <v>12.192299999999999</v>
      </c>
      <c r="BZ55" s="222">
        <v>3650</v>
      </c>
      <c r="CA55" s="224">
        <f t="shared" si="22"/>
        <v>888.37568999999996</v>
      </c>
      <c r="CB55" s="222">
        <v>3650</v>
      </c>
      <c r="CC55" s="226">
        <f t="shared" si="23"/>
        <v>12.192299999999999</v>
      </c>
      <c r="CD55" s="312">
        <v>3650</v>
      </c>
      <c r="CE55" s="286">
        <f>BY55*Wirtschaftlichkeit!$N$5/Wirtschaftlichkeit!$N$7</f>
        <v>5.1395948182205444</v>
      </c>
      <c r="CF55" s="284">
        <f t="shared" si="24"/>
        <v>374.4897265452048</v>
      </c>
      <c r="CH55" s="222">
        <v>3650</v>
      </c>
      <c r="CI55" s="225">
        <f>IF($C55&gt;=Wirtschaftlichkeit!$O$8,Wirtschaftlichkeit!$O$8,IF(AND($C55&lt;=Wirtschaftlichkeit!$O$8,$C55&gt;=Wirtschaftlichkeit!$O$8*Eingabemaske!$B$18),$C55,"0"))</f>
        <v>12.192299999999999</v>
      </c>
      <c r="CJ55" s="222">
        <v>3650</v>
      </c>
      <c r="CK55" s="224">
        <f t="shared" si="25"/>
        <v>888.37568999999996</v>
      </c>
      <c r="CL55" s="222">
        <v>3650</v>
      </c>
      <c r="CM55" s="226">
        <f t="shared" si="26"/>
        <v>12.192299999999999</v>
      </c>
      <c r="CN55" s="312">
        <v>3650</v>
      </c>
      <c r="CO55" s="286">
        <f>CI55*Wirtschaftlichkeit!$O$5/Wirtschaftlichkeit!$O$7</f>
        <v>5.233634463404278</v>
      </c>
      <c r="CP55" s="284">
        <f t="shared" si="27"/>
        <v>381.34179995854396</v>
      </c>
      <c r="CR55" s="222">
        <v>3650</v>
      </c>
      <c r="CS55" s="225">
        <f>IF($C55&gt;=Wirtschaftlichkeit!$P$8,Wirtschaftlichkeit!$P$8,IF(AND($C55&lt;=Wirtschaftlichkeit!$P$8,$C55&gt;=Wirtschaftlichkeit!$P$8*Eingabemaske!$B$18),$C55,"0"))</f>
        <v>12.192299999999999</v>
      </c>
      <c r="CT55" s="222">
        <v>3650</v>
      </c>
      <c r="CU55" s="224">
        <f t="shared" si="28"/>
        <v>888.37568999999996</v>
      </c>
      <c r="CV55" s="222">
        <v>3650</v>
      </c>
      <c r="CW55" s="226">
        <f t="shared" si="29"/>
        <v>12.192299999999999</v>
      </c>
      <c r="CX55" s="312">
        <v>3650</v>
      </c>
      <c r="CY55" s="286">
        <f>CS55*Wirtschaftlichkeit!$P$5/Wirtschaftlichkeit!$P$7</f>
        <v>5.3196600006276924</v>
      </c>
      <c r="CZ55" s="284">
        <f t="shared" si="30"/>
        <v>387.60993607629626</v>
      </c>
      <c r="DB55" s="222">
        <v>3650</v>
      </c>
      <c r="DC55" s="225">
        <f>IF($C55&gt;=Wirtschaftlichkeit!$Q$8,Wirtschaftlichkeit!$Q$8,IF(AND($C55&lt;=Wirtschaftlichkeit!$Q$8,$C55&gt;=Wirtschaftlichkeit!$Q$8*Eingabemaske!$B$18),$C55,"0"))</f>
        <v>12.192299999999999</v>
      </c>
      <c r="DD55" s="222">
        <v>3650</v>
      </c>
      <c r="DE55" s="224">
        <f t="shared" si="31"/>
        <v>888.37568999999996</v>
      </c>
      <c r="DF55" s="222">
        <v>3650</v>
      </c>
      <c r="DG55" s="226">
        <f t="shared" si="32"/>
        <v>12.192299999999999</v>
      </c>
      <c r="DH55" s="312">
        <v>3650</v>
      </c>
      <c r="DI55" s="286">
        <f>DC55*Wirtschaftlichkeit!$Q$5/Wirtschaftlichkeit!$Q$7</f>
        <v>5.5824809628767813</v>
      </c>
      <c r="DJ55" s="284">
        <f t="shared" si="33"/>
        <v>406.76003521136499</v>
      </c>
      <c r="DL55" s="222">
        <v>3650</v>
      </c>
      <c r="DM55" s="225" t="str">
        <f>IF($C55&gt;=Wirtschaftlichkeit!$R$8,Wirtschaftlichkeit!$R$8,IF(AND($C55&lt;=Wirtschaftlichkeit!$R$8,$C55&gt;=Wirtschaftlichkeit!$R$8*Eingabemaske!$B$18),$C55,"0"))</f>
        <v>0</v>
      </c>
      <c r="DN55" s="222">
        <v>3650</v>
      </c>
      <c r="DO55" s="224">
        <f t="shared" si="34"/>
        <v>0</v>
      </c>
      <c r="DP55" s="222">
        <v>3650</v>
      </c>
      <c r="DQ55" s="226" t="str">
        <f t="shared" si="35"/>
        <v xml:space="preserve"> </v>
      </c>
      <c r="DR55" s="312">
        <v>3650</v>
      </c>
      <c r="DS55" s="286">
        <f>DM55*Wirtschaftlichkeit!$R$5/Wirtschaftlichkeit!$R$7</f>
        <v>0</v>
      </c>
      <c r="DT55" s="284">
        <f t="shared" si="36"/>
        <v>0</v>
      </c>
      <c r="DV55" s="222">
        <v>3650</v>
      </c>
      <c r="DW55" s="225" t="str">
        <f>IF($C55&gt;=Wirtschaftlichkeit!$S$8,Wirtschaftlichkeit!$S$8,IF(AND($C55&lt;=Wirtschaftlichkeit!$S$8,$C55&gt;=Wirtschaftlichkeit!$S$8*Eingabemaske!$B$18),$C55,"0"))</f>
        <v>0</v>
      </c>
      <c r="DX55" s="222">
        <v>3650</v>
      </c>
      <c r="DY55" s="224">
        <f t="shared" si="37"/>
        <v>0</v>
      </c>
      <c r="DZ55" s="222">
        <v>3650</v>
      </c>
      <c r="EA55" s="226" t="str">
        <f t="shared" si="38"/>
        <v xml:space="preserve"> </v>
      </c>
      <c r="EB55" s="312">
        <v>3650</v>
      </c>
      <c r="EC55" s="286">
        <f>DW55*Wirtschaftlichkeit!$S$5/Wirtschaftlichkeit!$S$7</f>
        <v>0</v>
      </c>
      <c r="ED55" s="284">
        <f t="shared" si="39"/>
        <v>0</v>
      </c>
      <c r="EF55" s="222">
        <v>3650</v>
      </c>
      <c r="EG55" s="225" t="str">
        <f>IF($C55&gt;=Wirtschaftlichkeit!$T$8,Wirtschaftlichkeit!$T$8,IF(AND($C55&lt;=Wirtschaftlichkeit!$T$8,$C55&gt;=Wirtschaftlichkeit!$T$8*Eingabemaske!$B$18),$C55,"0"))</f>
        <v>0</v>
      </c>
      <c r="EH55" s="222">
        <v>3650</v>
      </c>
      <c r="EI55" s="224">
        <f t="shared" si="40"/>
        <v>0</v>
      </c>
      <c r="EJ55" s="222">
        <v>3650</v>
      </c>
      <c r="EK55" s="226" t="str">
        <f t="shared" si="41"/>
        <v xml:space="preserve"> </v>
      </c>
      <c r="EL55" s="312">
        <v>3650</v>
      </c>
      <c r="EM55" s="286">
        <f>EG55*Wirtschaftlichkeit!$T$5/Wirtschaftlichkeit!$T$7</f>
        <v>0</v>
      </c>
      <c r="EN55" s="284">
        <f t="shared" si="42"/>
        <v>0</v>
      </c>
      <c r="EP55" s="222">
        <v>3650</v>
      </c>
      <c r="EQ55" s="225" t="str">
        <f>IF($C55&gt;=Wirtschaftlichkeit!$U$8,Wirtschaftlichkeit!$U$8,IF(AND($C55&lt;=Wirtschaftlichkeit!$U$8,$C55&gt;=Wirtschaftlichkeit!$U$8*Eingabemaske!$B$18),$C55,"0"))</f>
        <v>0</v>
      </c>
      <c r="ER55" s="222">
        <v>3650</v>
      </c>
      <c r="ES55" s="224">
        <f t="shared" si="43"/>
        <v>0</v>
      </c>
      <c r="ET55" s="222">
        <v>3650</v>
      </c>
      <c r="EU55" s="226" t="str">
        <f t="shared" si="44"/>
        <v xml:space="preserve"> </v>
      </c>
      <c r="EV55" s="312">
        <v>3650</v>
      </c>
      <c r="EW55" s="286">
        <f>EQ55*Wirtschaftlichkeit!$U$5/Wirtschaftlichkeit!$U$7</f>
        <v>0</v>
      </c>
      <c r="EX55" s="284">
        <f t="shared" si="45"/>
        <v>0</v>
      </c>
      <c r="EZ55" s="222">
        <v>3650</v>
      </c>
      <c r="FA55" s="225" t="str">
        <f>IF($C55&gt;=Wirtschaftlichkeit!$V$8,Wirtschaftlichkeit!$V$8,IF(AND($C55&lt;=Wirtschaftlichkeit!$V$8,$C55&gt;=Wirtschaftlichkeit!$V$8*Eingabemaske!$B$18),$C55,"0"))</f>
        <v>0</v>
      </c>
      <c r="FB55" s="222">
        <v>3650</v>
      </c>
      <c r="FC55" s="224">
        <f t="shared" si="46"/>
        <v>0</v>
      </c>
      <c r="FD55" s="222">
        <v>3650</v>
      </c>
      <c r="FE55" s="226" t="str">
        <f t="shared" si="47"/>
        <v xml:space="preserve"> </v>
      </c>
      <c r="FF55" s="312">
        <v>3650</v>
      </c>
      <c r="FG55" s="286">
        <f>FA55*Wirtschaftlichkeit!$V$5/Wirtschaftlichkeit!$V$7</f>
        <v>0</v>
      </c>
      <c r="FH55" s="284">
        <f t="shared" si="48"/>
        <v>0</v>
      </c>
      <c r="FJ55" s="222">
        <v>3650</v>
      </c>
      <c r="FK55" s="225" t="str">
        <f>IF($C55&gt;=Wirtschaftlichkeit!$W$8,Wirtschaftlichkeit!$W$8,IF(AND($C55&lt;=Wirtschaftlichkeit!$W$8,$C55&gt;=Wirtschaftlichkeit!$W$8*Eingabemaske!$B$18),$C55,"0"))</f>
        <v>0</v>
      </c>
      <c r="FL55" s="222">
        <v>3650</v>
      </c>
      <c r="FM55" s="224">
        <f t="shared" si="49"/>
        <v>0</v>
      </c>
      <c r="FN55" s="222">
        <v>3650</v>
      </c>
      <c r="FO55" s="226" t="str">
        <f t="shared" si="50"/>
        <v xml:space="preserve"> </v>
      </c>
      <c r="FP55" s="312">
        <v>3650</v>
      </c>
      <c r="FQ55" s="286">
        <f>FK55*Wirtschaftlichkeit!$W$5/Wirtschaftlichkeit!$W$7</f>
        <v>0</v>
      </c>
      <c r="FR55" s="284">
        <f t="shared" si="51"/>
        <v>0</v>
      </c>
      <c r="FT55" s="222">
        <v>3650</v>
      </c>
      <c r="FU55" s="225" t="str">
        <f>IF($C55&gt;=Wirtschaftlichkeit!$X$8,Wirtschaftlichkeit!$X$8,IF(AND($C55&lt;=Wirtschaftlichkeit!$X$8,$C55&gt;=Wirtschaftlichkeit!$X$8*Eingabemaske!$B$18),$C55,"0"))</f>
        <v>0</v>
      </c>
      <c r="FV55" s="222">
        <v>3650</v>
      </c>
      <c r="FW55" s="224">
        <f t="shared" si="52"/>
        <v>0</v>
      </c>
      <c r="FX55" s="222">
        <v>3650</v>
      </c>
      <c r="FY55" s="226" t="str">
        <f t="shared" si="53"/>
        <v xml:space="preserve"> </v>
      </c>
      <c r="FZ55" s="312">
        <v>3650</v>
      </c>
      <c r="GA55" s="286">
        <f>FU55*Wirtschaftlichkeit!$X$5/Wirtschaftlichkeit!$X$7</f>
        <v>0</v>
      </c>
      <c r="GB55" s="284">
        <f t="shared" si="54"/>
        <v>0</v>
      </c>
      <c r="GD55" s="222">
        <v>3650</v>
      </c>
      <c r="GE55" s="225" t="str">
        <f>IF($C55&gt;=Wirtschaftlichkeit!$Y$8,Wirtschaftlichkeit!$Y$8,IF(AND($C55&lt;=Wirtschaftlichkeit!$Y$8,$C55&gt;=Wirtschaftlichkeit!$Y$8*Eingabemaske!$B$18),$C55,"0"))</f>
        <v>0</v>
      </c>
      <c r="GF55" s="222">
        <v>3650</v>
      </c>
      <c r="GG55" s="224">
        <f t="shared" si="55"/>
        <v>0</v>
      </c>
      <c r="GH55" s="222">
        <v>3650</v>
      </c>
      <c r="GI55" s="226" t="str">
        <f t="shared" si="56"/>
        <v xml:space="preserve"> </v>
      </c>
      <c r="GJ55" s="312">
        <v>3650</v>
      </c>
      <c r="GK55" s="286">
        <f>GE55*Wirtschaftlichkeit!$Y$5/Wirtschaftlichkeit!$Y$7</f>
        <v>0</v>
      </c>
      <c r="GL55" s="284">
        <f t="shared" si="57"/>
        <v>0</v>
      </c>
      <c r="GN55" s="222">
        <v>3650</v>
      </c>
      <c r="GO55" s="225" t="str">
        <f>IF($C55&gt;=Wirtschaftlichkeit!$Z$8,Wirtschaftlichkeit!$Z$8,IF(AND($C55&lt;=Wirtschaftlichkeit!$Z$8,$C55&gt;=Wirtschaftlichkeit!$Z$8*Eingabemaske!$B$18),$C55,"0"))</f>
        <v>0</v>
      </c>
      <c r="GP55" s="222">
        <v>3650</v>
      </c>
      <c r="GQ55" s="224">
        <f t="shared" si="58"/>
        <v>0</v>
      </c>
      <c r="GR55" s="222">
        <v>3650</v>
      </c>
      <c r="GS55" s="226" t="str">
        <f t="shared" si="59"/>
        <v xml:space="preserve"> </v>
      </c>
      <c r="GT55" s="312">
        <v>3650</v>
      </c>
      <c r="GU55" s="286">
        <f>GO55*Wirtschaftlichkeit!$Z$5/Wirtschaftlichkeit!$Z$7</f>
        <v>0</v>
      </c>
      <c r="GV55" s="284">
        <f t="shared" si="60"/>
        <v>0</v>
      </c>
      <c r="GW55" s="266"/>
      <c r="GX55" s="258">
        <v>3650</v>
      </c>
      <c r="GY55" s="270">
        <f>IF(Berechnung_Diagramme!$C$28=Berechnungen_Lastgang!$F$2,Berechnungen_Lastgang!G55,IF(Berechnung_Diagramme!$C$28=Berechnungen_Lastgang!$P$2,Berechnungen_Lastgang!Q55,IF(Berechnung_Diagramme!$C$28=Berechnungen_Lastgang!$Z$2,Berechnungen_Lastgang!AA55,IF(Berechnung_Diagramme!$C$28=Berechnungen_Lastgang!$AJ$2,Berechnungen_Lastgang!AK55,IF(Berechnung_Diagramme!$C$28=Berechnungen_Lastgang!$AT$2,Berechnungen_Lastgang!AU55,IF(Berechnung_Diagramme!$C$28=Berechnungen_Lastgang!$BD$2,Berechnungen_Lastgang!BE55,IF(Berechnung_Diagramme!$C$28=Berechnungen_Lastgang!$BN$2,Berechnungen_Lastgang!BO55,IF(Berechnung_Diagramme!$C$28=Berechnungen_Lastgang!$BX$2,Berechnungen_Lastgang!BY55,IF(Berechnung_Diagramme!$C$28=Berechnungen_Lastgang!$CH$2,Berechnungen_Lastgang!CI55,IF(Berechnung_Diagramme!$C$28=Berechnungen_Lastgang!$CR$2,Berechnungen_Lastgang!CS55,IF(Berechnung_Diagramme!$C$28=Berechnungen_Lastgang!$DB$2,Berechnungen_Lastgang!DC55,IF(Berechnung_Diagramme!$C$28=Berechnungen_Lastgang!$DL$2,Berechnungen_Lastgang!DM55,IF(Berechnung_Diagramme!$C$28=Berechnungen_Lastgang!$DV$2,Berechnungen_Lastgang!DW55,IF(Berechnung_Diagramme!$C$28=Berechnungen_Lastgang!$EF$2,Berechnungen_Lastgang!EG55,IF(Berechnung_Diagramme!$C$28=Berechnungen_Lastgang!$EP$2,Berechnungen_Lastgang!EQ55,IF(Berechnung_Diagramme!$C$28=Berechnungen_Lastgang!$EZ$2,Berechnungen_Lastgang!FA55,IF(Berechnung_Diagramme!$C$28=Berechnungen_Lastgang!$FJ$2,Berechnungen_Lastgang!FK55,IF(Berechnung_Diagramme!$C$28=Berechnungen_Lastgang!$FT$2,Berechnungen_Lastgang!FU55,IF(Berechnung_Diagramme!$C$28=Berechnungen_Lastgang!$GD$2,Berechnungen_Lastgang!GE55,IF(Berechnung_Diagramme!$C$28=Berechnungen_Lastgang!$GN$2,Berechnungen_Lastgang!GO55,""))))))))))))))))))))</f>
        <v>12.192299999999999</v>
      </c>
    </row>
    <row r="56" spans="2:207" x14ac:dyDescent="0.25">
      <c r="B56" s="64">
        <v>3723</v>
      </c>
      <c r="C56" s="67">
        <f>C55+((C60-C55)/(B60-B55))*(B56-B55)</f>
        <v>12.14676</v>
      </c>
      <c r="D56" s="66">
        <f t="shared" si="61"/>
        <v>885.05127000000005</v>
      </c>
      <c r="F56" s="64">
        <v>3723</v>
      </c>
      <c r="G56" s="225">
        <f>IF($C56&gt;=Wirtschaftlichkeit!$G$8,Wirtschaftlichkeit!$G$8,IF(AND($C56&lt;=Wirtschaftlichkeit!$G$8,$C56&gt;=Wirtschaftlichkeit!$G$8*Eingabemaske!$B$18),$C56,"0"))</f>
        <v>2.8333333333333335</v>
      </c>
      <c r="H56" s="64">
        <v>3723</v>
      </c>
      <c r="I56" s="66">
        <f t="shared" si="62"/>
        <v>206.83333333333334</v>
      </c>
      <c r="J56" s="64">
        <v>3723</v>
      </c>
      <c r="K56" s="71">
        <f t="shared" si="63"/>
        <v>2.8333333333333335</v>
      </c>
      <c r="L56" s="312">
        <v>3723</v>
      </c>
      <c r="M56" s="286">
        <f>G56*Wirtschaftlichkeit!$G$5/Wirtschaftlichkeit!$G$7</f>
        <v>1</v>
      </c>
      <c r="N56" s="284">
        <f t="shared" si="3"/>
        <v>73</v>
      </c>
      <c r="P56" s="222">
        <v>3723</v>
      </c>
      <c r="Q56" s="225">
        <f>IF($C56&gt;=Wirtschaftlichkeit!$H$8,Wirtschaftlichkeit!$H$8,IF(AND($C56&lt;=Wirtschaftlichkeit!$H$8,$C56&gt;=Wirtschaftlichkeit!$H$8*Eingabemaske!$B$18),$C56,"0"))</f>
        <v>5.5876288659793811</v>
      </c>
      <c r="R56" s="222">
        <v>3723</v>
      </c>
      <c r="S56" s="224">
        <f t="shared" si="4"/>
        <v>407.89690721649481</v>
      </c>
      <c r="T56" s="222">
        <v>3723</v>
      </c>
      <c r="U56" s="226">
        <f t="shared" si="5"/>
        <v>5.5876288659793811</v>
      </c>
      <c r="V56" s="312">
        <v>3723</v>
      </c>
      <c r="W56" s="286">
        <f>Q56*Wirtschaftlichkeit!$H$5/Wirtschaftlichkeit!$H$7</f>
        <v>2</v>
      </c>
      <c r="X56" s="284">
        <f t="shared" si="6"/>
        <v>146</v>
      </c>
      <c r="Z56" s="222">
        <v>3723</v>
      </c>
      <c r="AA56" s="225">
        <f>IF($C56&gt;=Wirtschaftlichkeit!$I$8,Wirtschaftlichkeit!$I$8,IF(AND($C56&lt;=Wirtschaftlichkeit!$I$8,$C56&gt;=Wirtschaftlichkeit!$I$8*Eingabemaske!$B$18),$C56,"0"))</f>
        <v>8.2471643149712612</v>
      </c>
      <c r="AB56" s="222">
        <v>3723</v>
      </c>
      <c r="AC56" s="224">
        <f t="shared" si="7"/>
        <v>602.04299499290209</v>
      </c>
      <c r="AD56" s="222">
        <v>3723</v>
      </c>
      <c r="AE56" s="226">
        <f t="shared" si="8"/>
        <v>8.2471643149712612</v>
      </c>
      <c r="AF56" s="312">
        <v>3723</v>
      </c>
      <c r="AG56" s="286">
        <f>AA56*Wirtschaftlichkeit!$I$5/Wirtschaftlichkeit!$I$7</f>
        <v>3.0000000000000004</v>
      </c>
      <c r="AH56" s="284">
        <f t="shared" si="9"/>
        <v>219.00000000000003</v>
      </c>
      <c r="AJ56" s="222">
        <v>3723</v>
      </c>
      <c r="AK56" s="225">
        <f>IF($C56&gt;=Wirtschaftlichkeit!$J$8,Wirtschaftlichkeit!$J$8,IF(AND($C56&lt;=Wirtschaftlichkeit!$J$8,$C56&gt;=Wirtschaftlichkeit!$J$8*Eingabemaske!$B$18),$C56,"0"))</f>
        <v>10.537455322965799</v>
      </c>
      <c r="AL56" s="222">
        <v>3723</v>
      </c>
      <c r="AM56" s="224">
        <f t="shared" si="10"/>
        <v>769.23423857650334</v>
      </c>
      <c r="AN56" s="222">
        <v>3723</v>
      </c>
      <c r="AO56" s="226">
        <f t="shared" si="11"/>
        <v>10.537455322965799</v>
      </c>
      <c r="AP56" s="312">
        <v>3723</v>
      </c>
      <c r="AQ56" s="286">
        <f>AK56*Wirtschaftlichkeit!$J$5/Wirtschaftlichkeit!$J$7</f>
        <v>4</v>
      </c>
      <c r="AR56" s="284">
        <f t="shared" si="12"/>
        <v>292</v>
      </c>
      <c r="AT56" s="222">
        <v>3723</v>
      </c>
      <c r="AU56" s="225">
        <f>IF($C56&gt;=Wirtschaftlichkeit!$K$8,Wirtschaftlichkeit!$K$8,IF(AND($C56&lt;=Wirtschaftlichkeit!$K$8,$C56&gt;=Wirtschaftlichkeit!$K$8*Eingabemaske!$B$18),$C56,"0"))</f>
        <v>12.14676</v>
      </c>
      <c r="AV56" s="222">
        <v>3723</v>
      </c>
      <c r="AW56" s="224">
        <f t="shared" si="13"/>
        <v>885.05127000000005</v>
      </c>
      <c r="AX56" s="222">
        <v>3723</v>
      </c>
      <c r="AY56" s="226">
        <f t="shared" si="14"/>
        <v>12.14676</v>
      </c>
      <c r="AZ56" s="312">
        <v>3723</v>
      </c>
      <c r="BA56" s="286">
        <f>AU56*Wirtschaftlichkeit!$K$5/Wirtschaftlichkeit!$K$7</f>
        <v>4.7675027529335905</v>
      </c>
      <c r="BB56" s="284">
        <f t="shared" si="15"/>
        <v>347.3752972984048</v>
      </c>
      <c r="BD56" s="222">
        <v>3723</v>
      </c>
      <c r="BE56" s="225">
        <f>IF($C56&gt;=Wirtschaftlichkeit!$L$8,Wirtschaftlichkeit!$L$8,IF(AND($C56&lt;=Wirtschaftlichkeit!$L$8,$C56&gt;=Wirtschaftlichkeit!$L$8*Eingabemaske!$B$18),$C56,"0"))</f>
        <v>12.14676</v>
      </c>
      <c r="BF56" s="222">
        <v>3723</v>
      </c>
      <c r="BG56" s="224">
        <f t="shared" si="16"/>
        <v>885.05127000000005</v>
      </c>
      <c r="BH56" s="222">
        <v>3723</v>
      </c>
      <c r="BI56" s="226">
        <f t="shared" si="17"/>
        <v>12.14676</v>
      </c>
      <c r="BJ56" s="312">
        <v>3723</v>
      </c>
      <c r="BK56" s="286">
        <f>BE56*Wirtschaftlichkeit!$L$5/Wirtschaftlichkeit!$L$7</f>
        <v>4.9005577338460782</v>
      </c>
      <c r="BL56" s="284">
        <f t="shared" si="18"/>
        <v>357.07010314263175</v>
      </c>
      <c r="BN56" s="222">
        <v>3723</v>
      </c>
      <c r="BO56" s="225">
        <f>IF($C56&gt;=Wirtschaftlichkeit!$M$8,Wirtschaftlichkeit!$M$8,IF(AND($C56&lt;=Wirtschaftlichkeit!$M$8,$C56&gt;=Wirtschaftlichkeit!$M$8*Eingabemaske!$B$18),$C56,"0"))</f>
        <v>12.14676</v>
      </c>
      <c r="BP56" s="222">
        <v>3723</v>
      </c>
      <c r="BQ56" s="224">
        <f t="shared" si="19"/>
        <v>885.05127000000005</v>
      </c>
      <c r="BR56" s="222">
        <v>3723</v>
      </c>
      <c r="BS56" s="226">
        <f t="shared" si="20"/>
        <v>12.14676</v>
      </c>
      <c r="BT56" s="312">
        <v>3723</v>
      </c>
      <c r="BU56" s="286">
        <f>BO56*Wirtschaftlichkeit!$M$5/Wirtschaftlichkeit!$M$7</f>
        <v>5.0168047715385233</v>
      </c>
      <c r="BV56" s="284">
        <f t="shared" si="21"/>
        <v>365.54022919628198</v>
      </c>
      <c r="BX56" s="222">
        <v>3723</v>
      </c>
      <c r="BY56" s="225">
        <f>IF($C56&gt;=Wirtschaftlichkeit!$N$8,Wirtschaftlichkeit!$N$8,IF(AND($C56&lt;=Wirtschaftlichkeit!$N$8,$C56&gt;=Wirtschaftlichkeit!$N$8*Eingabemaske!$B$18),$C56,"0"))</f>
        <v>12.14676</v>
      </c>
      <c r="BZ56" s="222">
        <v>3723</v>
      </c>
      <c r="CA56" s="224">
        <f t="shared" si="22"/>
        <v>885.05127000000005</v>
      </c>
      <c r="CB56" s="222">
        <v>3723</v>
      </c>
      <c r="CC56" s="226">
        <f t="shared" si="23"/>
        <v>12.14676</v>
      </c>
      <c r="CD56" s="312">
        <v>3723</v>
      </c>
      <c r="CE56" s="286">
        <f>BY56*Wirtschaftlichkeit!$N$5/Wirtschaftlichkeit!$N$7</f>
        <v>5.120397689867259</v>
      </c>
      <c r="CF56" s="284">
        <f t="shared" si="24"/>
        <v>373.08833617541501</v>
      </c>
      <c r="CH56" s="222">
        <v>3723</v>
      </c>
      <c r="CI56" s="225">
        <f>IF($C56&gt;=Wirtschaftlichkeit!$O$8,Wirtschaftlichkeit!$O$8,IF(AND($C56&lt;=Wirtschaftlichkeit!$O$8,$C56&gt;=Wirtschaftlichkeit!$O$8*Eingabemaske!$B$18),$C56,"0"))</f>
        <v>12.14676</v>
      </c>
      <c r="CJ56" s="222">
        <v>3723</v>
      </c>
      <c r="CK56" s="224">
        <f t="shared" si="25"/>
        <v>885.05127000000005</v>
      </c>
      <c r="CL56" s="222">
        <v>3723</v>
      </c>
      <c r="CM56" s="226">
        <f t="shared" si="26"/>
        <v>12.14676</v>
      </c>
      <c r="CN56" s="312">
        <v>3723</v>
      </c>
      <c r="CO56" s="286">
        <f>CI56*Wirtschaftlichkeit!$O$5/Wirtschaftlichkeit!$O$7</f>
        <v>5.214086083405145</v>
      </c>
      <c r="CP56" s="284">
        <f t="shared" si="27"/>
        <v>379.91476821860721</v>
      </c>
      <c r="CR56" s="222">
        <v>3723</v>
      </c>
      <c r="CS56" s="225">
        <f>IF($C56&gt;=Wirtschaftlichkeit!$P$8,Wirtschaftlichkeit!$P$8,IF(AND($C56&lt;=Wirtschaftlichkeit!$P$8,$C56&gt;=Wirtschaftlichkeit!$P$8*Eingabemaske!$B$18),$C56,"0"))</f>
        <v>12.14676</v>
      </c>
      <c r="CT56" s="222">
        <v>3723</v>
      </c>
      <c r="CU56" s="224">
        <f t="shared" si="28"/>
        <v>885.05127000000005</v>
      </c>
      <c r="CV56" s="222">
        <v>3723</v>
      </c>
      <c r="CW56" s="226">
        <f t="shared" si="29"/>
        <v>12.14676</v>
      </c>
      <c r="CX56" s="312">
        <v>3723</v>
      </c>
      <c r="CY56" s="286">
        <f>CS56*Wirtschaftlichkeit!$P$5/Wirtschaftlichkeit!$P$7</f>
        <v>5.2997903028324789</v>
      </c>
      <c r="CZ56" s="284">
        <f t="shared" si="30"/>
        <v>386.1594481372457</v>
      </c>
      <c r="DB56" s="222">
        <v>3723</v>
      </c>
      <c r="DC56" s="225">
        <f>IF($C56&gt;=Wirtschaftlichkeit!$Q$8,Wirtschaftlichkeit!$Q$8,IF(AND($C56&lt;=Wirtschaftlichkeit!$Q$8,$C56&gt;=Wirtschaftlichkeit!$Q$8*Eingabemaske!$B$18),$C56,"0"))</f>
        <v>12.14676</v>
      </c>
      <c r="DD56" s="222">
        <v>3723</v>
      </c>
      <c r="DE56" s="224">
        <f t="shared" si="31"/>
        <v>885.05127000000005</v>
      </c>
      <c r="DF56" s="222">
        <v>3723</v>
      </c>
      <c r="DG56" s="226">
        <f t="shared" si="32"/>
        <v>12.14676</v>
      </c>
      <c r="DH56" s="312">
        <v>3723</v>
      </c>
      <c r="DI56" s="286">
        <f>DC56*Wirtschaftlichkeit!$Q$5/Wirtschaftlichkeit!$Q$7</f>
        <v>5.561629590859245</v>
      </c>
      <c r="DJ56" s="284">
        <f t="shared" si="33"/>
        <v>405.23788505408487</v>
      </c>
      <c r="DL56" s="222">
        <v>3723</v>
      </c>
      <c r="DM56" s="225" t="str">
        <f>IF($C56&gt;=Wirtschaftlichkeit!$R$8,Wirtschaftlichkeit!$R$8,IF(AND($C56&lt;=Wirtschaftlichkeit!$R$8,$C56&gt;=Wirtschaftlichkeit!$R$8*Eingabemaske!$B$18),$C56,"0"))</f>
        <v>0</v>
      </c>
      <c r="DN56" s="222">
        <v>3723</v>
      </c>
      <c r="DO56" s="224">
        <f t="shared" si="34"/>
        <v>0</v>
      </c>
      <c r="DP56" s="222">
        <v>3723</v>
      </c>
      <c r="DQ56" s="226" t="str">
        <f t="shared" si="35"/>
        <v xml:space="preserve"> </v>
      </c>
      <c r="DR56" s="312">
        <v>3723</v>
      </c>
      <c r="DS56" s="286">
        <f>DM56*Wirtschaftlichkeit!$R$5/Wirtschaftlichkeit!$R$7</f>
        <v>0</v>
      </c>
      <c r="DT56" s="284">
        <f t="shared" si="36"/>
        <v>0</v>
      </c>
      <c r="DV56" s="222">
        <v>3723</v>
      </c>
      <c r="DW56" s="225" t="str">
        <f>IF($C56&gt;=Wirtschaftlichkeit!$S$8,Wirtschaftlichkeit!$S$8,IF(AND($C56&lt;=Wirtschaftlichkeit!$S$8,$C56&gt;=Wirtschaftlichkeit!$S$8*Eingabemaske!$B$18),$C56,"0"))</f>
        <v>0</v>
      </c>
      <c r="DX56" s="222">
        <v>3723</v>
      </c>
      <c r="DY56" s="224">
        <f t="shared" si="37"/>
        <v>0</v>
      </c>
      <c r="DZ56" s="222">
        <v>3723</v>
      </c>
      <c r="EA56" s="226" t="str">
        <f t="shared" si="38"/>
        <v xml:space="preserve"> </v>
      </c>
      <c r="EB56" s="312">
        <v>3723</v>
      </c>
      <c r="EC56" s="286">
        <f>DW56*Wirtschaftlichkeit!$S$5/Wirtschaftlichkeit!$S$7</f>
        <v>0</v>
      </c>
      <c r="ED56" s="284">
        <f t="shared" si="39"/>
        <v>0</v>
      </c>
      <c r="EF56" s="222">
        <v>3723</v>
      </c>
      <c r="EG56" s="225" t="str">
        <f>IF($C56&gt;=Wirtschaftlichkeit!$T$8,Wirtschaftlichkeit!$T$8,IF(AND($C56&lt;=Wirtschaftlichkeit!$T$8,$C56&gt;=Wirtschaftlichkeit!$T$8*Eingabemaske!$B$18),$C56,"0"))</f>
        <v>0</v>
      </c>
      <c r="EH56" s="222">
        <v>3723</v>
      </c>
      <c r="EI56" s="224">
        <f t="shared" si="40"/>
        <v>0</v>
      </c>
      <c r="EJ56" s="222">
        <v>3723</v>
      </c>
      <c r="EK56" s="226" t="str">
        <f t="shared" si="41"/>
        <v xml:space="preserve"> </v>
      </c>
      <c r="EL56" s="312">
        <v>3723</v>
      </c>
      <c r="EM56" s="286">
        <f>EG56*Wirtschaftlichkeit!$T$5/Wirtschaftlichkeit!$T$7</f>
        <v>0</v>
      </c>
      <c r="EN56" s="284">
        <f t="shared" si="42"/>
        <v>0</v>
      </c>
      <c r="EP56" s="222">
        <v>3723</v>
      </c>
      <c r="EQ56" s="225" t="str">
        <f>IF($C56&gt;=Wirtschaftlichkeit!$U$8,Wirtschaftlichkeit!$U$8,IF(AND($C56&lt;=Wirtschaftlichkeit!$U$8,$C56&gt;=Wirtschaftlichkeit!$U$8*Eingabemaske!$B$18),$C56,"0"))</f>
        <v>0</v>
      </c>
      <c r="ER56" s="222">
        <v>3723</v>
      </c>
      <c r="ES56" s="224">
        <f t="shared" si="43"/>
        <v>0</v>
      </c>
      <c r="ET56" s="222">
        <v>3723</v>
      </c>
      <c r="EU56" s="226" t="str">
        <f t="shared" si="44"/>
        <v xml:space="preserve"> </v>
      </c>
      <c r="EV56" s="312">
        <v>3723</v>
      </c>
      <c r="EW56" s="286">
        <f>EQ56*Wirtschaftlichkeit!$U$5/Wirtschaftlichkeit!$U$7</f>
        <v>0</v>
      </c>
      <c r="EX56" s="284">
        <f t="shared" si="45"/>
        <v>0</v>
      </c>
      <c r="EZ56" s="222">
        <v>3723</v>
      </c>
      <c r="FA56" s="225" t="str">
        <f>IF($C56&gt;=Wirtschaftlichkeit!$V$8,Wirtschaftlichkeit!$V$8,IF(AND($C56&lt;=Wirtschaftlichkeit!$V$8,$C56&gt;=Wirtschaftlichkeit!$V$8*Eingabemaske!$B$18),$C56,"0"))</f>
        <v>0</v>
      </c>
      <c r="FB56" s="222">
        <v>3723</v>
      </c>
      <c r="FC56" s="224">
        <f t="shared" si="46"/>
        <v>0</v>
      </c>
      <c r="FD56" s="222">
        <v>3723</v>
      </c>
      <c r="FE56" s="226" t="str">
        <f t="shared" si="47"/>
        <v xml:space="preserve"> </v>
      </c>
      <c r="FF56" s="312">
        <v>3723</v>
      </c>
      <c r="FG56" s="286">
        <f>FA56*Wirtschaftlichkeit!$V$5/Wirtschaftlichkeit!$V$7</f>
        <v>0</v>
      </c>
      <c r="FH56" s="284">
        <f t="shared" si="48"/>
        <v>0</v>
      </c>
      <c r="FJ56" s="222">
        <v>3723</v>
      </c>
      <c r="FK56" s="225" t="str">
        <f>IF($C56&gt;=Wirtschaftlichkeit!$W$8,Wirtschaftlichkeit!$W$8,IF(AND($C56&lt;=Wirtschaftlichkeit!$W$8,$C56&gt;=Wirtschaftlichkeit!$W$8*Eingabemaske!$B$18),$C56,"0"))</f>
        <v>0</v>
      </c>
      <c r="FL56" s="222">
        <v>3723</v>
      </c>
      <c r="FM56" s="224">
        <f t="shared" si="49"/>
        <v>0</v>
      </c>
      <c r="FN56" s="222">
        <v>3723</v>
      </c>
      <c r="FO56" s="226" t="str">
        <f t="shared" si="50"/>
        <v xml:space="preserve"> </v>
      </c>
      <c r="FP56" s="312">
        <v>3723</v>
      </c>
      <c r="FQ56" s="286">
        <f>FK56*Wirtschaftlichkeit!$W$5/Wirtschaftlichkeit!$W$7</f>
        <v>0</v>
      </c>
      <c r="FR56" s="284">
        <f t="shared" si="51"/>
        <v>0</v>
      </c>
      <c r="FT56" s="222">
        <v>3723</v>
      </c>
      <c r="FU56" s="225" t="str">
        <f>IF($C56&gt;=Wirtschaftlichkeit!$X$8,Wirtschaftlichkeit!$X$8,IF(AND($C56&lt;=Wirtschaftlichkeit!$X$8,$C56&gt;=Wirtschaftlichkeit!$X$8*Eingabemaske!$B$18),$C56,"0"))</f>
        <v>0</v>
      </c>
      <c r="FV56" s="222">
        <v>3723</v>
      </c>
      <c r="FW56" s="224">
        <f t="shared" si="52"/>
        <v>0</v>
      </c>
      <c r="FX56" s="222">
        <v>3723</v>
      </c>
      <c r="FY56" s="226" t="str">
        <f t="shared" si="53"/>
        <v xml:space="preserve"> </v>
      </c>
      <c r="FZ56" s="312">
        <v>3723</v>
      </c>
      <c r="GA56" s="286">
        <f>FU56*Wirtschaftlichkeit!$X$5/Wirtschaftlichkeit!$X$7</f>
        <v>0</v>
      </c>
      <c r="GB56" s="284">
        <f t="shared" si="54"/>
        <v>0</v>
      </c>
      <c r="GD56" s="222">
        <v>3723</v>
      </c>
      <c r="GE56" s="225" t="str">
        <f>IF($C56&gt;=Wirtschaftlichkeit!$Y$8,Wirtschaftlichkeit!$Y$8,IF(AND($C56&lt;=Wirtschaftlichkeit!$Y$8,$C56&gt;=Wirtschaftlichkeit!$Y$8*Eingabemaske!$B$18),$C56,"0"))</f>
        <v>0</v>
      </c>
      <c r="GF56" s="222">
        <v>3723</v>
      </c>
      <c r="GG56" s="224">
        <f t="shared" si="55"/>
        <v>0</v>
      </c>
      <c r="GH56" s="222">
        <v>3723</v>
      </c>
      <c r="GI56" s="226" t="str">
        <f t="shared" si="56"/>
        <v xml:space="preserve"> </v>
      </c>
      <c r="GJ56" s="312">
        <v>3723</v>
      </c>
      <c r="GK56" s="286">
        <f>GE56*Wirtschaftlichkeit!$Y$5/Wirtschaftlichkeit!$Y$7</f>
        <v>0</v>
      </c>
      <c r="GL56" s="284">
        <f t="shared" si="57"/>
        <v>0</v>
      </c>
      <c r="GN56" s="222">
        <v>3723</v>
      </c>
      <c r="GO56" s="225" t="str">
        <f>IF($C56&gt;=Wirtschaftlichkeit!$Z$8,Wirtschaftlichkeit!$Z$8,IF(AND($C56&lt;=Wirtschaftlichkeit!$Z$8,$C56&gt;=Wirtschaftlichkeit!$Z$8*Eingabemaske!$B$18),$C56,"0"))</f>
        <v>0</v>
      </c>
      <c r="GP56" s="222">
        <v>3723</v>
      </c>
      <c r="GQ56" s="224">
        <f t="shared" si="58"/>
        <v>0</v>
      </c>
      <c r="GR56" s="222">
        <v>3723</v>
      </c>
      <c r="GS56" s="226" t="str">
        <f t="shared" si="59"/>
        <v xml:space="preserve"> </v>
      </c>
      <c r="GT56" s="312">
        <v>3723</v>
      </c>
      <c r="GU56" s="286">
        <f>GO56*Wirtschaftlichkeit!$Z$5/Wirtschaftlichkeit!$Z$7</f>
        <v>0</v>
      </c>
      <c r="GV56" s="284">
        <f t="shared" si="60"/>
        <v>0</v>
      </c>
      <c r="GW56" s="266"/>
      <c r="GX56" s="258">
        <v>3723</v>
      </c>
      <c r="GY56" s="270">
        <f>IF(Berechnung_Diagramme!$C$28=Berechnungen_Lastgang!$F$2,Berechnungen_Lastgang!G56,IF(Berechnung_Diagramme!$C$28=Berechnungen_Lastgang!$P$2,Berechnungen_Lastgang!Q56,IF(Berechnung_Diagramme!$C$28=Berechnungen_Lastgang!$Z$2,Berechnungen_Lastgang!AA56,IF(Berechnung_Diagramme!$C$28=Berechnungen_Lastgang!$AJ$2,Berechnungen_Lastgang!AK56,IF(Berechnung_Diagramme!$C$28=Berechnungen_Lastgang!$AT$2,Berechnungen_Lastgang!AU56,IF(Berechnung_Diagramme!$C$28=Berechnungen_Lastgang!$BD$2,Berechnungen_Lastgang!BE56,IF(Berechnung_Diagramme!$C$28=Berechnungen_Lastgang!$BN$2,Berechnungen_Lastgang!BO56,IF(Berechnung_Diagramme!$C$28=Berechnungen_Lastgang!$BX$2,Berechnungen_Lastgang!BY56,IF(Berechnung_Diagramme!$C$28=Berechnungen_Lastgang!$CH$2,Berechnungen_Lastgang!CI56,IF(Berechnung_Diagramme!$C$28=Berechnungen_Lastgang!$CR$2,Berechnungen_Lastgang!CS56,IF(Berechnung_Diagramme!$C$28=Berechnungen_Lastgang!$DB$2,Berechnungen_Lastgang!DC56,IF(Berechnung_Diagramme!$C$28=Berechnungen_Lastgang!$DL$2,Berechnungen_Lastgang!DM56,IF(Berechnung_Diagramme!$C$28=Berechnungen_Lastgang!$DV$2,Berechnungen_Lastgang!DW56,IF(Berechnung_Diagramme!$C$28=Berechnungen_Lastgang!$EF$2,Berechnungen_Lastgang!EG56,IF(Berechnung_Diagramme!$C$28=Berechnungen_Lastgang!$EP$2,Berechnungen_Lastgang!EQ56,IF(Berechnung_Diagramme!$C$28=Berechnungen_Lastgang!$EZ$2,Berechnungen_Lastgang!FA56,IF(Berechnung_Diagramme!$C$28=Berechnungen_Lastgang!$FJ$2,Berechnungen_Lastgang!FK56,IF(Berechnung_Diagramme!$C$28=Berechnungen_Lastgang!$FT$2,Berechnungen_Lastgang!FU56,IF(Berechnung_Diagramme!$C$28=Berechnungen_Lastgang!$GD$2,Berechnungen_Lastgang!GE56,IF(Berechnung_Diagramme!$C$28=Berechnungen_Lastgang!$GN$2,Berechnungen_Lastgang!GO56,""))))))))))))))))))))</f>
        <v>12.14676</v>
      </c>
    </row>
    <row r="57" spans="2:207" x14ac:dyDescent="0.25">
      <c r="B57" s="64">
        <v>3796</v>
      </c>
      <c r="C57" s="67">
        <f>C56+((C60-C56)/(B60-B56))*(B57-B56)</f>
        <v>12.101220000000001</v>
      </c>
      <c r="D57" s="66">
        <f t="shared" si="61"/>
        <v>881.72685000000001</v>
      </c>
      <c r="F57" s="64">
        <v>3796</v>
      </c>
      <c r="G57" s="225">
        <f>IF($C57&gt;=Wirtschaftlichkeit!$G$8,Wirtschaftlichkeit!$G$8,IF(AND($C57&lt;=Wirtschaftlichkeit!$G$8,$C57&gt;=Wirtschaftlichkeit!$G$8*Eingabemaske!$B$18),$C57,"0"))</f>
        <v>2.8333333333333335</v>
      </c>
      <c r="H57" s="64">
        <v>3796</v>
      </c>
      <c r="I57" s="66">
        <f t="shared" si="62"/>
        <v>206.83333333333334</v>
      </c>
      <c r="J57" s="64">
        <v>3796</v>
      </c>
      <c r="K57" s="71">
        <f t="shared" si="63"/>
        <v>2.8333333333333335</v>
      </c>
      <c r="L57" s="312">
        <v>3796</v>
      </c>
      <c r="M57" s="286">
        <f>G57*Wirtschaftlichkeit!$G$5/Wirtschaftlichkeit!$G$7</f>
        <v>1</v>
      </c>
      <c r="N57" s="284">
        <f t="shared" si="3"/>
        <v>73</v>
      </c>
      <c r="P57" s="222">
        <v>3796</v>
      </c>
      <c r="Q57" s="225">
        <f>IF($C57&gt;=Wirtschaftlichkeit!$H$8,Wirtschaftlichkeit!$H$8,IF(AND($C57&lt;=Wirtschaftlichkeit!$H$8,$C57&gt;=Wirtschaftlichkeit!$H$8*Eingabemaske!$B$18),$C57,"0"))</f>
        <v>5.5876288659793811</v>
      </c>
      <c r="R57" s="222">
        <v>3796</v>
      </c>
      <c r="S57" s="224">
        <f t="shared" si="4"/>
        <v>407.89690721649481</v>
      </c>
      <c r="T57" s="222">
        <v>3796</v>
      </c>
      <c r="U57" s="226">
        <f t="shared" si="5"/>
        <v>5.5876288659793811</v>
      </c>
      <c r="V57" s="312">
        <v>3796</v>
      </c>
      <c r="W57" s="286">
        <f>Q57*Wirtschaftlichkeit!$H$5/Wirtschaftlichkeit!$H$7</f>
        <v>2</v>
      </c>
      <c r="X57" s="284">
        <f t="shared" si="6"/>
        <v>146</v>
      </c>
      <c r="Z57" s="222">
        <v>3796</v>
      </c>
      <c r="AA57" s="225">
        <f>IF($C57&gt;=Wirtschaftlichkeit!$I$8,Wirtschaftlichkeit!$I$8,IF(AND($C57&lt;=Wirtschaftlichkeit!$I$8,$C57&gt;=Wirtschaftlichkeit!$I$8*Eingabemaske!$B$18),$C57,"0"))</f>
        <v>8.2471643149712612</v>
      </c>
      <c r="AB57" s="222">
        <v>3796</v>
      </c>
      <c r="AC57" s="224">
        <f t="shared" si="7"/>
        <v>602.04299499290209</v>
      </c>
      <c r="AD57" s="222">
        <v>3796</v>
      </c>
      <c r="AE57" s="226">
        <f t="shared" si="8"/>
        <v>8.2471643149712612</v>
      </c>
      <c r="AF57" s="312">
        <v>3796</v>
      </c>
      <c r="AG57" s="286">
        <f>AA57*Wirtschaftlichkeit!$I$5/Wirtschaftlichkeit!$I$7</f>
        <v>3.0000000000000004</v>
      </c>
      <c r="AH57" s="284">
        <f t="shared" si="9"/>
        <v>219.00000000000003</v>
      </c>
      <c r="AJ57" s="222">
        <v>3796</v>
      </c>
      <c r="AK57" s="225">
        <f>IF($C57&gt;=Wirtschaftlichkeit!$J$8,Wirtschaftlichkeit!$J$8,IF(AND($C57&lt;=Wirtschaftlichkeit!$J$8,$C57&gt;=Wirtschaftlichkeit!$J$8*Eingabemaske!$B$18),$C57,"0"))</f>
        <v>10.537455322965799</v>
      </c>
      <c r="AL57" s="222">
        <v>3796</v>
      </c>
      <c r="AM57" s="224">
        <f t="shared" si="10"/>
        <v>769.23423857650334</v>
      </c>
      <c r="AN57" s="222">
        <v>3796</v>
      </c>
      <c r="AO57" s="226">
        <f t="shared" si="11"/>
        <v>10.537455322965799</v>
      </c>
      <c r="AP57" s="312">
        <v>3796</v>
      </c>
      <c r="AQ57" s="286">
        <f>AK57*Wirtschaftlichkeit!$J$5/Wirtschaftlichkeit!$J$7</f>
        <v>4</v>
      </c>
      <c r="AR57" s="284">
        <f t="shared" si="12"/>
        <v>292</v>
      </c>
      <c r="AT57" s="222">
        <v>3796</v>
      </c>
      <c r="AU57" s="225">
        <f>IF($C57&gt;=Wirtschaftlichkeit!$K$8,Wirtschaftlichkeit!$K$8,IF(AND($C57&lt;=Wirtschaftlichkeit!$K$8,$C57&gt;=Wirtschaftlichkeit!$K$8*Eingabemaske!$B$18),$C57,"0"))</f>
        <v>12.101220000000001</v>
      </c>
      <c r="AV57" s="222">
        <v>3796</v>
      </c>
      <c r="AW57" s="224">
        <f t="shared" si="13"/>
        <v>881.72685000000001</v>
      </c>
      <c r="AX57" s="222">
        <v>3796</v>
      </c>
      <c r="AY57" s="226">
        <f t="shared" si="14"/>
        <v>12.101220000000001</v>
      </c>
      <c r="AZ57" s="312">
        <v>3796</v>
      </c>
      <c r="BA57" s="286">
        <f>AU57*Wirtschaftlichkeit!$K$5/Wirtschaftlichkeit!$K$7</f>
        <v>4.7496286798994163</v>
      </c>
      <c r="BB57" s="284">
        <f t="shared" si="15"/>
        <v>346.07048996690997</v>
      </c>
      <c r="BD57" s="222">
        <v>3796</v>
      </c>
      <c r="BE57" s="225">
        <f>IF($C57&gt;=Wirtschaftlichkeit!$L$8,Wirtschaftlichkeit!$L$8,IF(AND($C57&lt;=Wirtschaftlichkeit!$L$8,$C57&gt;=Wirtschaftlichkeit!$L$8*Eingabemaske!$B$18),$C57,"0"))</f>
        <v>12.101220000000001</v>
      </c>
      <c r="BF57" s="222">
        <v>3796</v>
      </c>
      <c r="BG57" s="224">
        <f t="shared" si="16"/>
        <v>881.72685000000001</v>
      </c>
      <c r="BH57" s="222">
        <v>3796</v>
      </c>
      <c r="BI57" s="226">
        <f t="shared" si="17"/>
        <v>12.101220000000001</v>
      </c>
      <c r="BJ57" s="312">
        <v>3796</v>
      </c>
      <c r="BK57" s="286">
        <f>BE57*Wirtschaftlichkeit!$L$5/Wirtschaftlichkeit!$L$7</f>
        <v>4.8821848180068468</v>
      </c>
      <c r="BL57" s="284">
        <f t="shared" si="18"/>
        <v>355.72888028636783</v>
      </c>
      <c r="BN57" s="222">
        <v>3796</v>
      </c>
      <c r="BO57" s="225">
        <f>IF($C57&gt;=Wirtschaftlichkeit!$M$8,Wirtschaftlichkeit!$M$8,IF(AND($C57&lt;=Wirtschaftlichkeit!$M$8,$C57&gt;=Wirtschaftlichkeit!$M$8*Eingabemaske!$B$18),$C57,"0"))</f>
        <v>12.101220000000001</v>
      </c>
      <c r="BP57" s="222">
        <v>3796</v>
      </c>
      <c r="BQ57" s="224">
        <f t="shared" si="19"/>
        <v>881.72685000000001</v>
      </c>
      <c r="BR57" s="222">
        <v>3796</v>
      </c>
      <c r="BS57" s="226">
        <f t="shared" si="20"/>
        <v>12.101220000000001</v>
      </c>
      <c r="BT57" s="312">
        <v>3796</v>
      </c>
      <c r="BU57" s="286">
        <f>BO57*Wirtschaftlichkeit!$M$5/Wirtschaftlichkeit!$M$7</f>
        <v>4.9979960283596139</v>
      </c>
      <c r="BV57" s="284">
        <f t="shared" si="21"/>
        <v>364.16719094422155</v>
      </c>
      <c r="BX57" s="222">
        <v>3796</v>
      </c>
      <c r="BY57" s="225">
        <f>IF($C57&gt;=Wirtschaftlichkeit!$N$8,Wirtschaftlichkeit!$N$8,IF(AND($C57&lt;=Wirtschaftlichkeit!$N$8,$C57&gt;=Wirtschaftlichkeit!$N$8*Eingabemaske!$B$18),$C57,"0"))</f>
        <v>12.101220000000001</v>
      </c>
      <c r="BZ57" s="222">
        <v>3796</v>
      </c>
      <c r="CA57" s="224">
        <f t="shared" si="22"/>
        <v>881.72685000000001</v>
      </c>
      <c r="CB57" s="222">
        <v>3796</v>
      </c>
      <c r="CC57" s="226">
        <f t="shared" si="23"/>
        <v>12.101220000000001</v>
      </c>
      <c r="CD57" s="312">
        <v>3796</v>
      </c>
      <c r="CE57" s="286">
        <f>BY57*Wirtschaftlichkeit!$N$5/Wirtschaftlichkeit!$N$7</f>
        <v>5.1012005615139735</v>
      </c>
      <c r="CF57" s="284">
        <f t="shared" si="24"/>
        <v>371.6869458056251</v>
      </c>
      <c r="CH57" s="222">
        <v>3796</v>
      </c>
      <c r="CI57" s="225">
        <f>IF($C57&gt;=Wirtschaftlichkeit!$O$8,Wirtschaftlichkeit!$O$8,IF(AND($C57&lt;=Wirtschaftlichkeit!$O$8,$C57&gt;=Wirtschaftlichkeit!$O$8*Eingabemaske!$B$18),$C57,"0"))</f>
        <v>12.101220000000001</v>
      </c>
      <c r="CJ57" s="222">
        <v>3796</v>
      </c>
      <c r="CK57" s="224">
        <f t="shared" si="25"/>
        <v>881.72685000000001</v>
      </c>
      <c r="CL57" s="222">
        <v>3796</v>
      </c>
      <c r="CM57" s="226">
        <f t="shared" si="26"/>
        <v>12.101220000000001</v>
      </c>
      <c r="CN57" s="312">
        <v>3796</v>
      </c>
      <c r="CO57" s="286">
        <f>CI57*Wirtschaftlichkeit!$O$5/Wirtschaftlichkeit!$O$7</f>
        <v>5.1945377034060121</v>
      </c>
      <c r="CP57" s="284">
        <f t="shared" si="27"/>
        <v>378.48773647867051</v>
      </c>
      <c r="CR57" s="222">
        <v>3796</v>
      </c>
      <c r="CS57" s="225">
        <f>IF($C57&gt;=Wirtschaftlichkeit!$P$8,Wirtschaftlichkeit!$P$8,IF(AND($C57&lt;=Wirtschaftlichkeit!$P$8,$C57&gt;=Wirtschaftlichkeit!$P$8*Eingabemaske!$B$18),$C57,"0"))</f>
        <v>12.101220000000001</v>
      </c>
      <c r="CT57" s="222">
        <v>3796</v>
      </c>
      <c r="CU57" s="224">
        <f t="shared" si="28"/>
        <v>881.72685000000001</v>
      </c>
      <c r="CV57" s="222">
        <v>3796</v>
      </c>
      <c r="CW57" s="226">
        <f t="shared" si="29"/>
        <v>12.101220000000001</v>
      </c>
      <c r="CX57" s="312">
        <v>3796</v>
      </c>
      <c r="CY57" s="286">
        <f>CS57*Wirtschaftlichkeit!$P$5/Wirtschaftlichkeit!$P$7</f>
        <v>5.2799206050372662</v>
      </c>
      <c r="CZ57" s="284">
        <f t="shared" si="30"/>
        <v>384.70896019819514</v>
      </c>
      <c r="DB57" s="222">
        <v>3796</v>
      </c>
      <c r="DC57" s="225">
        <f>IF($C57&gt;=Wirtschaftlichkeit!$Q$8,Wirtschaftlichkeit!$Q$8,IF(AND($C57&lt;=Wirtschaftlichkeit!$Q$8,$C57&gt;=Wirtschaftlichkeit!$Q$8*Eingabemaske!$B$18),$C57,"0"))</f>
        <v>12.101220000000001</v>
      </c>
      <c r="DD57" s="222">
        <v>3796</v>
      </c>
      <c r="DE57" s="224">
        <f t="shared" si="31"/>
        <v>881.72685000000001</v>
      </c>
      <c r="DF57" s="222">
        <v>3796</v>
      </c>
      <c r="DG57" s="226">
        <f t="shared" si="32"/>
        <v>12.101220000000001</v>
      </c>
      <c r="DH57" s="312">
        <v>3796</v>
      </c>
      <c r="DI57" s="286">
        <f>DC57*Wirtschaftlichkeit!$Q$5/Wirtschaftlichkeit!$Q$7</f>
        <v>5.5407782188417096</v>
      </c>
      <c r="DJ57" s="284">
        <f t="shared" si="33"/>
        <v>403.71573489680469</v>
      </c>
      <c r="DL57" s="222">
        <v>3796</v>
      </c>
      <c r="DM57" s="225" t="str">
        <f>IF($C57&gt;=Wirtschaftlichkeit!$R$8,Wirtschaftlichkeit!$R$8,IF(AND($C57&lt;=Wirtschaftlichkeit!$R$8,$C57&gt;=Wirtschaftlichkeit!$R$8*Eingabemaske!$B$18),$C57,"0"))</f>
        <v>0</v>
      </c>
      <c r="DN57" s="222">
        <v>3796</v>
      </c>
      <c r="DO57" s="224">
        <f t="shared" si="34"/>
        <v>0</v>
      </c>
      <c r="DP57" s="222">
        <v>3796</v>
      </c>
      <c r="DQ57" s="226" t="str">
        <f t="shared" si="35"/>
        <v xml:space="preserve"> </v>
      </c>
      <c r="DR57" s="312">
        <v>3796</v>
      </c>
      <c r="DS57" s="286">
        <f>DM57*Wirtschaftlichkeit!$R$5/Wirtschaftlichkeit!$R$7</f>
        <v>0</v>
      </c>
      <c r="DT57" s="284">
        <f t="shared" si="36"/>
        <v>0</v>
      </c>
      <c r="DV57" s="222">
        <v>3796</v>
      </c>
      <c r="DW57" s="225" t="str">
        <f>IF($C57&gt;=Wirtschaftlichkeit!$S$8,Wirtschaftlichkeit!$S$8,IF(AND($C57&lt;=Wirtschaftlichkeit!$S$8,$C57&gt;=Wirtschaftlichkeit!$S$8*Eingabemaske!$B$18),$C57,"0"))</f>
        <v>0</v>
      </c>
      <c r="DX57" s="222">
        <v>3796</v>
      </c>
      <c r="DY57" s="224">
        <f t="shared" si="37"/>
        <v>0</v>
      </c>
      <c r="DZ57" s="222">
        <v>3796</v>
      </c>
      <c r="EA57" s="226" t="str">
        <f t="shared" si="38"/>
        <v xml:space="preserve"> </v>
      </c>
      <c r="EB57" s="312">
        <v>3796</v>
      </c>
      <c r="EC57" s="286">
        <f>DW57*Wirtschaftlichkeit!$S$5/Wirtschaftlichkeit!$S$7</f>
        <v>0</v>
      </c>
      <c r="ED57" s="284">
        <f t="shared" si="39"/>
        <v>0</v>
      </c>
      <c r="EF57" s="222">
        <v>3796</v>
      </c>
      <c r="EG57" s="225" t="str">
        <f>IF($C57&gt;=Wirtschaftlichkeit!$T$8,Wirtschaftlichkeit!$T$8,IF(AND($C57&lt;=Wirtschaftlichkeit!$T$8,$C57&gt;=Wirtschaftlichkeit!$T$8*Eingabemaske!$B$18),$C57,"0"))</f>
        <v>0</v>
      </c>
      <c r="EH57" s="222">
        <v>3796</v>
      </c>
      <c r="EI57" s="224">
        <f t="shared" si="40"/>
        <v>0</v>
      </c>
      <c r="EJ57" s="222">
        <v>3796</v>
      </c>
      <c r="EK57" s="226" t="str">
        <f t="shared" si="41"/>
        <v xml:space="preserve"> </v>
      </c>
      <c r="EL57" s="312">
        <v>3796</v>
      </c>
      <c r="EM57" s="286">
        <f>EG57*Wirtschaftlichkeit!$T$5/Wirtschaftlichkeit!$T$7</f>
        <v>0</v>
      </c>
      <c r="EN57" s="284">
        <f t="shared" si="42"/>
        <v>0</v>
      </c>
      <c r="EP57" s="222">
        <v>3796</v>
      </c>
      <c r="EQ57" s="225" t="str">
        <f>IF($C57&gt;=Wirtschaftlichkeit!$U$8,Wirtschaftlichkeit!$U$8,IF(AND($C57&lt;=Wirtschaftlichkeit!$U$8,$C57&gt;=Wirtschaftlichkeit!$U$8*Eingabemaske!$B$18),$C57,"0"))</f>
        <v>0</v>
      </c>
      <c r="ER57" s="222">
        <v>3796</v>
      </c>
      <c r="ES57" s="224">
        <f t="shared" si="43"/>
        <v>0</v>
      </c>
      <c r="ET57" s="222">
        <v>3796</v>
      </c>
      <c r="EU57" s="226" t="str">
        <f t="shared" si="44"/>
        <v xml:space="preserve"> </v>
      </c>
      <c r="EV57" s="312">
        <v>3796</v>
      </c>
      <c r="EW57" s="286">
        <f>EQ57*Wirtschaftlichkeit!$U$5/Wirtschaftlichkeit!$U$7</f>
        <v>0</v>
      </c>
      <c r="EX57" s="284">
        <f t="shared" si="45"/>
        <v>0</v>
      </c>
      <c r="EZ57" s="222">
        <v>3796</v>
      </c>
      <c r="FA57" s="225" t="str">
        <f>IF($C57&gt;=Wirtschaftlichkeit!$V$8,Wirtschaftlichkeit!$V$8,IF(AND($C57&lt;=Wirtschaftlichkeit!$V$8,$C57&gt;=Wirtschaftlichkeit!$V$8*Eingabemaske!$B$18),$C57,"0"))</f>
        <v>0</v>
      </c>
      <c r="FB57" s="222">
        <v>3796</v>
      </c>
      <c r="FC57" s="224">
        <f t="shared" si="46"/>
        <v>0</v>
      </c>
      <c r="FD57" s="222">
        <v>3796</v>
      </c>
      <c r="FE57" s="226" t="str">
        <f t="shared" si="47"/>
        <v xml:space="preserve"> </v>
      </c>
      <c r="FF57" s="312">
        <v>3796</v>
      </c>
      <c r="FG57" s="286">
        <f>FA57*Wirtschaftlichkeit!$V$5/Wirtschaftlichkeit!$V$7</f>
        <v>0</v>
      </c>
      <c r="FH57" s="284">
        <f t="shared" si="48"/>
        <v>0</v>
      </c>
      <c r="FJ57" s="222">
        <v>3796</v>
      </c>
      <c r="FK57" s="225" t="str">
        <f>IF($C57&gt;=Wirtschaftlichkeit!$W$8,Wirtschaftlichkeit!$W$8,IF(AND($C57&lt;=Wirtschaftlichkeit!$W$8,$C57&gt;=Wirtschaftlichkeit!$W$8*Eingabemaske!$B$18),$C57,"0"))</f>
        <v>0</v>
      </c>
      <c r="FL57" s="222">
        <v>3796</v>
      </c>
      <c r="FM57" s="224">
        <f t="shared" si="49"/>
        <v>0</v>
      </c>
      <c r="FN57" s="222">
        <v>3796</v>
      </c>
      <c r="FO57" s="226" t="str">
        <f t="shared" si="50"/>
        <v xml:space="preserve"> </v>
      </c>
      <c r="FP57" s="312">
        <v>3796</v>
      </c>
      <c r="FQ57" s="286">
        <f>FK57*Wirtschaftlichkeit!$W$5/Wirtschaftlichkeit!$W$7</f>
        <v>0</v>
      </c>
      <c r="FR57" s="284">
        <f t="shared" si="51"/>
        <v>0</v>
      </c>
      <c r="FT57" s="222">
        <v>3796</v>
      </c>
      <c r="FU57" s="225" t="str">
        <f>IF($C57&gt;=Wirtschaftlichkeit!$X$8,Wirtschaftlichkeit!$X$8,IF(AND($C57&lt;=Wirtschaftlichkeit!$X$8,$C57&gt;=Wirtschaftlichkeit!$X$8*Eingabemaske!$B$18),$C57,"0"))</f>
        <v>0</v>
      </c>
      <c r="FV57" s="222">
        <v>3796</v>
      </c>
      <c r="FW57" s="224">
        <f t="shared" si="52"/>
        <v>0</v>
      </c>
      <c r="FX57" s="222">
        <v>3796</v>
      </c>
      <c r="FY57" s="226" t="str">
        <f t="shared" si="53"/>
        <v xml:space="preserve"> </v>
      </c>
      <c r="FZ57" s="312">
        <v>3796</v>
      </c>
      <c r="GA57" s="286">
        <f>FU57*Wirtschaftlichkeit!$X$5/Wirtschaftlichkeit!$X$7</f>
        <v>0</v>
      </c>
      <c r="GB57" s="284">
        <f t="shared" si="54"/>
        <v>0</v>
      </c>
      <c r="GD57" s="222">
        <v>3796</v>
      </c>
      <c r="GE57" s="225" t="str">
        <f>IF($C57&gt;=Wirtschaftlichkeit!$Y$8,Wirtschaftlichkeit!$Y$8,IF(AND($C57&lt;=Wirtschaftlichkeit!$Y$8,$C57&gt;=Wirtschaftlichkeit!$Y$8*Eingabemaske!$B$18),$C57,"0"))</f>
        <v>0</v>
      </c>
      <c r="GF57" s="222">
        <v>3796</v>
      </c>
      <c r="GG57" s="224">
        <f t="shared" si="55"/>
        <v>0</v>
      </c>
      <c r="GH57" s="222">
        <v>3796</v>
      </c>
      <c r="GI57" s="226" t="str">
        <f t="shared" si="56"/>
        <v xml:space="preserve"> </v>
      </c>
      <c r="GJ57" s="312">
        <v>3796</v>
      </c>
      <c r="GK57" s="286">
        <f>GE57*Wirtschaftlichkeit!$Y$5/Wirtschaftlichkeit!$Y$7</f>
        <v>0</v>
      </c>
      <c r="GL57" s="284">
        <f t="shared" si="57"/>
        <v>0</v>
      </c>
      <c r="GN57" s="222">
        <v>3796</v>
      </c>
      <c r="GO57" s="225" t="str">
        <f>IF($C57&gt;=Wirtschaftlichkeit!$Z$8,Wirtschaftlichkeit!$Z$8,IF(AND($C57&lt;=Wirtschaftlichkeit!$Z$8,$C57&gt;=Wirtschaftlichkeit!$Z$8*Eingabemaske!$B$18),$C57,"0"))</f>
        <v>0</v>
      </c>
      <c r="GP57" s="222">
        <v>3796</v>
      </c>
      <c r="GQ57" s="224">
        <f t="shared" si="58"/>
        <v>0</v>
      </c>
      <c r="GR57" s="222">
        <v>3796</v>
      </c>
      <c r="GS57" s="226" t="str">
        <f t="shared" si="59"/>
        <v xml:space="preserve"> </v>
      </c>
      <c r="GT57" s="312">
        <v>3796</v>
      </c>
      <c r="GU57" s="286">
        <f>GO57*Wirtschaftlichkeit!$Z$5/Wirtschaftlichkeit!$Z$7</f>
        <v>0</v>
      </c>
      <c r="GV57" s="284">
        <f t="shared" si="60"/>
        <v>0</v>
      </c>
      <c r="GW57" s="266"/>
      <c r="GX57" s="258">
        <v>3796</v>
      </c>
      <c r="GY57" s="270">
        <f>IF(Berechnung_Diagramme!$C$28=Berechnungen_Lastgang!$F$2,Berechnungen_Lastgang!G57,IF(Berechnung_Diagramme!$C$28=Berechnungen_Lastgang!$P$2,Berechnungen_Lastgang!Q57,IF(Berechnung_Diagramme!$C$28=Berechnungen_Lastgang!$Z$2,Berechnungen_Lastgang!AA57,IF(Berechnung_Diagramme!$C$28=Berechnungen_Lastgang!$AJ$2,Berechnungen_Lastgang!AK57,IF(Berechnung_Diagramme!$C$28=Berechnungen_Lastgang!$AT$2,Berechnungen_Lastgang!AU57,IF(Berechnung_Diagramme!$C$28=Berechnungen_Lastgang!$BD$2,Berechnungen_Lastgang!BE57,IF(Berechnung_Diagramme!$C$28=Berechnungen_Lastgang!$BN$2,Berechnungen_Lastgang!BO57,IF(Berechnung_Diagramme!$C$28=Berechnungen_Lastgang!$BX$2,Berechnungen_Lastgang!BY57,IF(Berechnung_Diagramme!$C$28=Berechnungen_Lastgang!$CH$2,Berechnungen_Lastgang!CI57,IF(Berechnung_Diagramme!$C$28=Berechnungen_Lastgang!$CR$2,Berechnungen_Lastgang!CS57,IF(Berechnung_Diagramme!$C$28=Berechnungen_Lastgang!$DB$2,Berechnungen_Lastgang!DC57,IF(Berechnung_Diagramme!$C$28=Berechnungen_Lastgang!$DL$2,Berechnungen_Lastgang!DM57,IF(Berechnung_Diagramme!$C$28=Berechnungen_Lastgang!$DV$2,Berechnungen_Lastgang!DW57,IF(Berechnung_Diagramme!$C$28=Berechnungen_Lastgang!$EF$2,Berechnungen_Lastgang!EG57,IF(Berechnung_Diagramme!$C$28=Berechnungen_Lastgang!$EP$2,Berechnungen_Lastgang!EQ57,IF(Berechnung_Diagramme!$C$28=Berechnungen_Lastgang!$EZ$2,Berechnungen_Lastgang!FA57,IF(Berechnung_Diagramme!$C$28=Berechnungen_Lastgang!$FJ$2,Berechnungen_Lastgang!FK57,IF(Berechnung_Diagramme!$C$28=Berechnungen_Lastgang!$FT$2,Berechnungen_Lastgang!FU57,IF(Berechnung_Diagramme!$C$28=Berechnungen_Lastgang!$GD$2,Berechnungen_Lastgang!GE57,IF(Berechnung_Diagramme!$C$28=Berechnungen_Lastgang!$GN$2,Berechnungen_Lastgang!GO57,""))))))))))))))))))))</f>
        <v>12.101220000000001</v>
      </c>
    </row>
    <row r="58" spans="2:207" x14ac:dyDescent="0.25">
      <c r="B58" s="64">
        <v>3869</v>
      </c>
      <c r="C58" s="67">
        <f>C57+((C60-C57)/(B60-B57))*(B58-B57)</f>
        <v>12.055680000000001</v>
      </c>
      <c r="D58" s="66">
        <f t="shared" si="61"/>
        <v>878.40243000000009</v>
      </c>
      <c r="F58" s="64">
        <v>3869</v>
      </c>
      <c r="G58" s="225">
        <f>IF($C58&gt;=Wirtschaftlichkeit!$G$8,Wirtschaftlichkeit!$G$8,IF(AND($C58&lt;=Wirtschaftlichkeit!$G$8,$C58&gt;=Wirtschaftlichkeit!$G$8*Eingabemaske!$B$18),$C58,"0"))</f>
        <v>2.8333333333333335</v>
      </c>
      <c r="H58" s="64">
        <v>3869</v>
      </c>
      <c r="I58" s="66">
        <f t="shared" si="62"/>
        <v>206.83333333333334</v>
      </c>
      <c r="J58" s="64">
        <v>3869</v>
      </c>
      <c r="K58" s="71">
        <f t="shared" si="63"/>
        <v>2.8333333333333335</v>
      </c>
      <c r="L58" s="312">
        <v>3869</v>
      </c>
      <c r="M58" s="286">
        <f>G58*Wirtschaftlichkeit!$G$5/Wirtschaftlichkeit!$G$7</f>
        <v>1</v>
      </c>
      <c r="N58" s="284">
        <f t="shared" si="3"/>
        <v>73</v>
      </c>
      <c r="P58" s="222">
        <v>3869</v>
      </c>
      <c r="Q58" s="225">
        <f>IF($C58&gt;=Wirtschaftlichkeit!$H$8,Wirtschaftlichkeit!$H$8,IF(AND($C58&lt;=Wirtschaftlichkeit!$H$8,$C58&gt;=Wirtschaftlichkeit!$H$8*Eingabemaske!$B$18),$C58,"0"))</f>
        <v>5.5876288659793811</v>
      </c>
      <c r="R58" s="222">
        <v>3869</v>
      </c>
      <c r="S58" s="224">
        <f t="shared" si="4"/>
        <v>407.89690721649481</v>
      </c>
      <c r="T58" s="222">
        <v>3869</v>
      </c>
      <c r="U58" s="226">
        <f t="shared" si="5"/>
        <v>5.5876288659793811</v>
      </c>
      <c r="V58" s="312">
        <v>3869</v>
      </c>
      <c r="W58" s="286">
        <f>Q58*Wirtschaftlichkeit!$H$5/Wirtschaftlichkeit!$H$7</f>
        <v>2</v>
      </c>
      <c r="X58" s="284">
        <f t="shared" si="6"/>
        <v>146</v>
      </c>
      <c r="Z58" s="222">
        <v>3869</v>
      </c>
      <c r="AA58" s="225">
        <f>IF($C58&gt;=Wirtschaftlichkeit!$I$8,Wirtschaftlichkeit!$I$8,IF(AND($C58&lt;=Wirtschaftlichkeit!$I$8,$C58&gt;=Wirtschaftlichkeit!$I$8*Eingabemaske!$B$18),$C58,"0"))</f>
        <v>8.2471643149712612</v>
      </c>
      <c r="AB58" s="222">
        <v>3869</v>
      </c>
      <c r="AC58" s="224">
        <f t="shared" si="7"/>
        <v>602.04299499290209</v>
      </c>
      <c r="AD58" s="222">
        <v>3869</v>
      </c>
      <c r="AE58" s="226">
        <f t="shared" si="8"/>
        <v>8.2471643149712612</v>
      </c>
      <c r="AF58" s="312">
        <v>3869</v>
      </c>
      <c r="AG58" s="286">
        <f>AA58*Wirtschaftlichkeit!$I$5/Wirtschaftlichkeit!$I$7</f>
        <v>3.0000000000000004</v>
      </c>
      <c r="AH58" s="284">
        <f t="shared" si="9"/>
        <v>219.00000000000003</v>
      </c>
      <c r="AJ58" s="222">
        <v>3869</v>
      </c>
      <c r="AK58" s="225">
        <f>IF($C58&gt;=Wirtschaftlichkeit!$J$8,Wirtschaftlichkeit!$J$8,IF(AND($C58&lt;=Wirtschaftlichkeit!$J$8,$C58&gt;=Wirtschaftlichkeit!$J$8*Eingabemaske!$B$18),$C58,"0"))</f>
        <v>10.537455322965799</v>
      </c>
      <c r="AL58" s="222">
        <v>3869</v>
      </c>
      <c r="AM58" s="224">
        <f t="shared" si="10"/>
        <v>769.23423857650334</v>
      </c>
      <c r="AN58" s="222">
        <v>3869</v>
      </c>
      <c r="AO58" s="226">
        <f t="shared" si="11"/>
        <v>10.537455322965799</v>
      </c>
      <c r="AP58" s="312">
        <v>3869</v>
      </c>
      <c r="AQ58" s="286">
        <f>AK58*Wirtschaftlichkeit!$J$5/Wirtschaftlichkeit!$J$7</f>
        <v>4</v>
      </c>
      <c r="AR58" s="284">
        <f t="shared" si="12"/>
        <v>292</v>
      </c>
      <c r="AT58" s="222">
        <v>3869</v>
      </c>
      <c r="AU58" s="225">
        <f>IF($C58&gt;=Wirtschaftlichkeit!$K$8,Wirtschaftlichkeit!$K$8,IF(AND($C58&lt;=Wirtschaftlichkeit!$K$8,$C58&gt;=Wirtschaftlichkeit!$K$8*Eingabemaske!$B$18),$C58,"0"))</f>
        <v>12.055680000000001</v>
      </c>
      <c r="AV58" s="222">
        <v>3869</v>
      </c>
      <c r="AW58" s="224">
        <f t="shared" si="13"/>
        <v>878.40243000000009</v>
      </c>
      <c r="AX58" s="222">
        <v>3869</v>
      </c>
      <c r="AY58" s="226">
        <f t="shared" si="14"/>
        <v>12.055680000000001</v>
      </c>
      <c r="AZ58" s="312">
        <v>3869</v>
      </c>
      <c r="BA58" s="286">
        <f>AU58*Wirtschaftlichkeit!$K$5/Wirtschaftlichkeit!$K$7</f>
        <v>4.7317546068652403</v>
      </c>
      <c r="BB58" s="284">
        <f t="shared" si="15"/>
        <v>344.76568263541515</v>
      </c>
      <c r="BD58" s="222">
        <v>3869</v>
      </c>
      <c r="BE58" s="225">
        <f>IF($C58&gt;=Wirtschaftlichkeit!$L$8,Wirtschaftlichkeit!$L$8,IF(AND($C58&lt;=Wirtschaftlichkeit!$L$8,$C58&gt;=Wirtschaftlichkeit!$L$8*Eingabemaske!$B$18),$C58,"0"))</f>
        <v>12.055680000000001</v>
      </c>
      <c r="BF58" s="222">
        <v>3869</v>
      </c>
      <c r="BG58" s="224">
        <f t="shared" si="16"/>
        <v>878.40243000000009</v>
      </c>
      <c r="BH58" s="222">
        <v>3869</v>
      </c>
      <c r="BI58" s="226">
        <f t="shared" si="17"/>
        <v>12.055680000000001</v>
      </c>
      <c r="BJ58" s="312">
        <v>3869</v>
      </c>
      <c r="BK58" s="286">
        <f>BE58*Wirtschaftlichkeit!$L$5/Wirtschaftlichkeit!$L$7</f>
        <v>4.8638119021676145</v>
      </c>
      <c r="BL58" s="284">
        <f t="shared" si="18"/>
        <v>354.3876574301039</v>
      </c>
      <c r="BN58" s="222">
        <v>3869</v>
      </c>
      <c r="BO58" s="225">
        <f>IF($C58&gt;=Wirtschaftlichkeit!$M$8,Wirtschaftlichkeit!$M$8,IF(AND($C58&lt;=Wirtschaftlichkeit!$M$8,$C58&gt;=Wirtschaftlichkeit!$M$8*Eingabemaske!$B$18),$C58,"0"))</f>
        <v>12.055680000000001</v>
      </c>
      <c r="BP58" s="222">
        <v>3869</v>
      </c>
      <c r="BQ58" s="224">
        <f t="shared" si="19"/>
        <v>878.40243000000009</v>
      </c>
      <c r="BR58" s="222">
        <v>3869</v>
      </c>
      <c r="BS58" s="226">
        <f t="shared" si="20"/>
        <v>12.055680000000001</v>
      </c>
      <c r="BT58" s="312">
        <v>3869</v>
      </c>
      <c r="BU58" s="286">
        <f>BO58*Wirtschaftlichkeit!$M$5/Wirtschaftlichkeit!$M$7</f>
        <v>4.9791872851807026</v>
      </c>
      <c r="BV58" s="284">
        <f t="shared" si="21"/>
        <v>362.79415269216105</v>
      </c>
      <c r="BX58" s="222">
        <v>3869</v>
      </c>
      <c r="BY58" s="225">
        <f>IF($C58&gt;=Wirtschaftlichkeit!$N$8,Wirtschaftlichkeit!$N$8,IF(AND($C58&lt;=Wirtschaftlichkeit!$N$8,$C58&gt;=Wirtschaftlichkeit!$N$8*Eingabemaske!$B$18),$C58,"0"))</f>
        <v>12.055680000000001</v>
      </c>
      <c r="BZ58" s="222">
        <v>3869</v>
      </c>
      <c r="CA58" s="224">
        <f t="shared" si="22"/>
        <v>878.40243000000009</v>
      </c>
      <c r="CB58" s="222">
        <v>3869</v>
      </c>
      <c r="CC58" s="226">
        <f t="shared" si="23"/>
        <v>12.055680000000001</v>
      </c>
      <c r="CD58" s="312">
        <v>3869</v>
      </c>
      <c r="CE58" s="286">
        <f>BY58*Wirtschaftlichkeit!$N$5/Wirtschaftlichkeit!$N$7</f>
        <v>5.0820034331606871</v>
      </c>
      <c r="CF58" s="284">
        <f t="shared" si="24"/>
        <v>370.28555543583525</v>
      </c>
      <c r="CH58" s="222">
        <v>3869</v>
      </c>
      <c r="CI58" s="225">
        <f>IF($C58&gt;=Wirtschaftlichkeit!$O$8,Wirtschaftlichkeit!$O$8,IF(AND($C58&lt;=Wirtschaftlichkeit!$O$8,$C58&gt;=Wirtschaftlichkeit!$O$8*Eingabemaske!$B$18),$C58,"0"))</f>
        <v>12.055680000000001</v>
      </c>
      <c r="CJ58" s="222">
        <v>3869</v>
      </c>
      <c r="CK58" s="224">
        <f t="shared" si="25"/>
        <v>878.40243000000009</v>
      </c>
      <c r="CL58" s="222">
        <v>3869</v>
      </c>
      <c r="CM58" s="226">
        <f t="shared" si="26"/>
        <v>12.055680000000001</v>
      </c>
      <c r="CN58" s="312">
        <v>3869</v>
      </c>
      <c r="CO58" s="286">
        <f>CI58*Wirtschaftlichkeit!$O$5/Wirtschaftlichkeit!$O$7</f>
        <v>5.1749893234068791</v>
      </c>
      <c r="CP58" s="284">
        <f t="shared" si="27"/>
        <v>377.06070473873382</v>
      </c>
      <c r="CR58" s="222">
        <v>3869</v>
      </c>
      <c r="CS58" s="225">
        <f>IF($C58&gt;=Wirtschaftlichkeit!$P$8,Wirtschaftlichkeit!$P$8,IF(AND($C58&lt;=Wirtschaftlichkeit!$P$8,$C58&gt;=Wirtschaftlichkeit!$P$8*Eingabemaske!$B$18),$C58,"0"))</f>
        <v>12.055680000000001</v>
      </c>
      <c r="CT58" s="222">
        <v>3869</v>
      </c>
      <c r="CU58" s="224">
        <f t="shared" si="28"/>
        <v>878.40243000000009</v>
      </c>
      <c r="CV58" s="222">
        <v>3869</v>
      </c>
      <c r="CW58" s="226">
        <f t="shared" si="29"/>
        <v>12.055680000000001</v>
      </c>
      <c r="CX58" s="312">
        <v>3869</v>
      </c>
      <c r="CY58" s="286">
        <f>CS58*Wirtschaftlichkeit!$P$5/Wirtschaftlichkeit!$P$7</f>
        <v>5.2600509072420518</v>
      </c>
      <c r="CZ58" s="284">
        <f t="shared" si="30"/>
        <v>383.25847225914441</v>
      </c>
      <c r="DB58" s="222">
        <v>3869</v>
      </c>
      <c r="DC58" s="225">
        <f>IF($C58&gt;=Wirtschaftlichkeit!$Q$8,Wirtschaftlichkeit!$Q$8,IF(AND($C58&lt;=Wirtschaftlichkeit!$Q$8,$C58&gt;=Wirtschaftlichkeit!$Q$8*Eingabemaske!$B$18),$C58,"0"))</f>
        <v>12.055680000000001</v>
      </c>
      <c r="DD58" s="222">
        <v>3869</v>
      </c>
      <c r="DE58" s="224">
        <f t="shared" si="31"/>
        <v>440.03232000000003</v>
      </c>
      <c r="DF58" s="222">
        <v>3869</v>
      </c>
      <c r="DG58" s="226">
        <f t="shared" si="32"/>
        <v>12.055680000000001</v>
      </c>
      <c r="DH58" s="312">
        <v>3869</v>
      </c>
      <c r="DI58" s="286">
        <f>DC58*Wirtschaftlichkeit!$Q$5/Wirtschaftlichkeit!$Q$7</f>
        <v>5.5199268468241725</v>
      </c>
      <c r="DJ58" s="284">
        <f t="shared" si="33"/>
        <v>201.4773299090823</v>
      </c>
      <c r="DL58" s="222">
        <v>3869</v>
      </c>
      <c r="DM58" s="225" t="str">
        <f>IF($C58&gt;=Wirtschaftlichkeit!$R$8,Wirtschaftlichkeit!$R$8,IF(AND($C58&lt;=Wirtschaftlichkeit!$R$8,$C58&gt;=Wirtschaftlichkeit!$R$8*Eingabemaske!$B$18),$C58,"0"))</f>
        <v>0</v>
      </c>
      <c r="DN58" s="222">
        <v>3869</v>
      </c>
      <c r="DO58" s="224">
        <f t="shared" si="34"/>
        <v>0</v>
      </c>
      <c r="DP58" s="222">
        <v>3869</v>
      </c>
      <c r="DQ58" s="226" t="str">
        <f t="shared" si="35"/>
        <v xml:space="preserve"> </v>
      </c>
      <c r="DR58" s="312">
        <v>3869</v>
      </c>
      <c r="DS58" s="286">
        <f>DM58*Wirtschaftlichkeit!$R$5/Wirtschaftlichkeit!$R$7</f>
        <v>0</v>
      </c>
      <c r="DT58" s="284">
        <f t="shared" si="36"/>
        <v>0</v>
      </c>
      <c r="DV58" s="222">
        <v>3869</v>
      </c>
      <c r="DW58" s="225" t="str">
        <f>IF($C58&gt;=Wirtschaftlichkeit!$S$8,Wirtschaftlichkeit!$S$8,IF(AND($C58&lt;=Wirtschaftlichkeit!$S$8,$C58&gt;=Wirtschaftlichkeit!$S$8*Eingabemaske!$B$18),$C58,"0"))</f>
        <v>0</v>
      </c>
      <c r="DX58" s="222">
        <v>3869</v>
      </c>
      <c r="DY58" s="224">
        <f t="shared" si="37"/>
        <v>0</v>
      </c>
      <c r="DZ58" s="222">
        <v>3869</v>
      </c>
      <c r="EA58" s="226" t="str">
        <f t="shared" si="38"/>
        <v xml:space="preserve"> </v>
      </c>
      <c r="EB58" s="312">
        <v>3869</v>
      </c>
      <c r="EC58" s="286">
        <f>DW58*Wirtschaftlichkeit!$S$5/Wirtschaftlichkeit!$S$7</f>
        <v>0</v>
      </c>
      <c r="ED58" s="284">
        <f t="shared" si="39"/>
        <v>0</v>
      </c>
      <c r="EF58" s="222">
        <v>3869</v>
      </c>
      <c r="EG58" s="225" t="str">
        <f>IF($C58&gt;=Wirtschaftlichkeit!$T$8,Wirtschaftlichkeit!$T$8,IF(AND($C58&lt;=Wirtschaftlichkeit!$T$8,$C58&gt;=Wirtschaftlichkeit!$T$8*Eingabemaske!$B$18),$C58,"0"))</f>
        <v>0</v>
      </c>
      <c r="EH58" s="222">
        <v>3869</v>
      </c>
      <c r="EI58" s="224">
        <f t="shared" si="40"/>
        <v>0</v>
      </c>
      <c r="EJ58" s="222">
        <v>3869</v>
      </c>
      <c r="EK58" s="226" t="str">
        <f t="shared" si="41"/>
        <v xml:space="preserve"> </v>
      </c>
      <c r="EL58" s="312">
        <v>3869</v>
      </c>
      <c r="EM58" s="286">
        <f>EG58*Wirtschaftlichkeit!$T$5/Wirtschaftlichkeit!$T$7</f>
        <v>0</v>
      </c>
      <c r="EN58" s="284">
        <f t="shared" si="42"/>
        <v>0</v>
      </c>
      <c r="EP58" s="222">
        <v>3869</v>
      </c>
      <c r="EQ58" s="225" t="str">
        <f>IF($C58&gt;=Wirtschaftlichkeit!$U$8,Wirtschaftlichkeit!$U$8,IF(AND($C58&lt;=Wirtschaftlichkeit!$U$8,$C58&gt;=Wirtschaftlichkeit!$U$8*Eingabemaske!$B$18),$C58,"0"))</f>
        <v>0</v>
      </c>
      <c r="ER58" s="222">
        <v>3869</v>
      </c>
      <c r="ES58" s="224">
        <f t="shared" si="43"/>
        <v>0</v>
      </c>
      <c r="ET58" s="222">
        <v>3869</v>
      </c>
      <c r="EU58" s="226" t="str">
        <f t="shared" si="44"/>
        <v xml:space="preserve"> </v>
      </c>
      <c r="EV58" s="312">
        <v>3869</v>
      </c>
      <c r="EW58" s="286">
        <f>EQ58*Wirtschaftlichkeit!$U$5/Wirtschaftlichkeit!$U$7</f>
        <v>0</v>
      </c>
      <c r="EX58" s="284">
        <f t="shared" si="45"/>
        <v>0</v>
      </c>
      <c r="EZ58" s="222">
        <v>3869</v>
      </c>
      <c r="FA58" s="225" t="str">
        <f>IF($C58&gt;=Wirtschaftlichkeit!$V$8,Wirtschaftlichkeit!$V$8,IF(AND($C58&lt;=Wirtschaftlichkeit!$V$8,$C58&gt;=Wirtschaftlichkeit!$V$8*Eingabemaske!$B$18),$C58,"0"))</f>
        <v>0</v>
      </c>
      <c r="FB58" s="222">
        <v>3869</v>
      </c>
      <c r="FC58" s="224">
        <f t="shared" si="46"/>
        <v>0</v>
      </c>
      <c r="FD58" s="222">
        <v>3869</v>
      </c>
      <c r="FE58" s="226" t="str">
        <f t="shared" si="47"/>
        <v xml:space="preserve"> </v>
      </c>
      <c r="FF58" s="312">
        <v>3869</v>
      </c>
      <c r="FG58" s="286">
        <f>FA58*Wirtschaftlichkeit!$V$5/Wirtschaftlichkeit!$V$7</f>
        <v>0</v>
      </c>
      <c r="FH58" s="284">
        <f t="shared" si="48"/>
        <v>0</v>
      </c>
      <c r="FJ58" s="222">
        <v>3869</v>
      </c>
      <c r="FK58" s="225" t="str">
        <f>IF($C58&gt;=Wirtschaftlichkeit!$W$8,Wirtschaftlichkeit!$W$8,IF(AND($C58&lt;=Wirtschaftlichkeit!$W$8,$C58&gt;=Wirtschaftlichkeit!$W$8*Eingabemaske!$B$18),$C58,"0"))</f>
        <v>0</v>
      </c>
      <c r="FL58" s="222">
        <v>3869</v>
      </c>
      <c r="FM58" s="224">
        <f t="shared" si="49"/>
        <v>0</v>
      </c>
      <c r="FN58" s="222">
        <v>3869</v>
      </c>
      <c r="FO58" s="226" t="str">
        <f t="shared" si="50"/>
        <v xml:space="preserve"> </v>
      </c>
      <c r="FP58" s="312">
        <v>3869</v>
      </c>
      <c r="FQ58" s="286">
        <f>FK58*Wirtschaftlichkeit!$W$5/Wirtschaftlichkeit!$W$7</f>
        <v>0</v>
      </c>
      <c r="FR58" s="284">
        <f t="shared" si="51"/>
        <v>0</v>
      </c>
      <c r="FT58" s="222">
        <v>3869</v>
      </c>
      <c r="FU58" s="225" t="str">
        <f>IF($C58&gt;=Wirtschaftlichkeit!$X$8,Wirtschaftlichkeit!$X$8,IF(AND($C58&lt;=Wirtschaftlichkeit!$X$8,$C58&gt;=Wirtschaftlichkeit!$X$8*Eingabemaske!$B$18),$C58,"0"))</f>
        <v>0</v>
      </c>
      <c r="FV58" s="222">
        <v>3869</v>
      </c>
      <c r="FW58" s="224">
        <f t="shared" si="52"/>
        <v>0</v>
      </c>
      <c r="FX58" s="222">
        <v>3869</v>
      </c>
      <c r="FY58" s="226" t="str">
        <f t="shared" si="53"/>
        <v xml:space="preserve"> </v>
      </c>
      <c r="FZ58" s="312">
        <v>3869</v>
      </c>
      <c r="GA58" s="286">
        <f>FU58*Wirtschaftlichkeit!$X$5/Wirtschaftlichkeit!$X$7</f>
        <v>0</v>
      </c>
      <c r="GB58" s="284">
        <f t="shared" si="54"/>
        <v>0</v>
      </c>
      <c r="GD58" s="222">
        <v>3869</v>
      </c>
      <c r="GE58" s="225" t="str">
        <f>IF($C58&gt;=Wirtschaftlichkeit!$Y$8,Wirtschaftlichkeit!$Y$8,IF(AND($C58&lt;=Wirtschaftlichkeit!$Y$8,$C58&gt;=Wirtschaftlichkeit!$Y$8*Eingabemaske!$B$18),$C58,"0"))</f>
        <v>0</v>
      </c>
      <c r="GF58" s="222">
        <v>3869</v>
      </c>
      <c r="GG58" s="224">
        <f t="shared" si="55"/>
        <v>0</v>
      </c>
      <c r="GH58" s="222">
        <v>3869</v>
      </c>
      <c r="GI58" s="226" t="str">
        <f t="shared" si="56"/>
        <v xml:space="preserve"> </v>
      </c>
      <c r="GJ58" s="312">
        <v>3869</v>
      </c>
      <c r="GK58" s="286">
        <f>GE58*Wirtschaftlichkeit!$Y$5/Wirtschaftlichkeit!$Y$7</f>
        <v>0</v>
      </c>
      <c r="GL58" s="284">
        <f t="shared" si="57"/>
        <v>0</v>
      </c>
      <c r="GN58" s="222">
        <v>3869</v>
      </c>
      <c r="GO58" s="225" t="str">
        <f>IF($C58&gt;=Wirtschaftlichkeit!$Z$8,Wirtschaftlichkeit!$Z$8,IF(AND($C58&lt;=Wirtschaftlichkeit!$Z$8,$C58&gt;=Wirtschaftlichkeit!$Z$8*Eingabemaske!$B$18),$C58,"0"))</f>
        <v>0</v>
      </c>
      <c r="GP58" s="222">
        <v>3869</v>
      </c>
      <c r="GQ58" s="224">
        <f t="shared" si="58"/>
        <v>0</v>
      </c>
      <c r="GR58" s="222">
        <v>3869</v>
      </c>
      <c r="GS58" s="226" t="str">
        <f t="shared" si="59"/>
        <v xml:space="preserve"> </v>
      </c>
      <c r="GT58" s="312">
        <v>3869</v>
      </c>
      <c r="GU58" s="286">
        <f>GO58*Wirtschaftlichkeit!$Z$5/Wirtschaftlichkeit!$Z$7</f>
        <v>0</v>
      </c>
      <c r="GV58" s="284">
        <f t="shared" si="60"/>
        <v>0</v>
      </c>
      <c r="GW58" s="266"/>
      <c r="GX58" s="258">
        <v>3869</v>
      </c>
      <c r="GY58" s="270">
        <f>IF(Berechnung_Diagramme!$C$28=Berechnungen_Lastgang!$F$2,Berechnungen_Lastgang!G58,IF(Berechnung_Diagramme!$C$28=Berechnungen_Lastgang!$P$2,Berechnungen_Lastgang!Q58,IF(Berechnung_Diagramme!$C$28=Berechnungen_Lastgang!$Z$2,Berechnungen_Lastgang!AA58,IF(Berechnung_Diagramme!$C$28=Berechnungen_Lastgang!$AJ$2,Berechnungen_Lastgang!AK58,IF(Berechnung_Diagramme!$C$28=Berechnungen_Lastgang!$AT$2,Berechnungen_Lastgang!AU58,IF(Berechnung_Diagramme!$C$28=Berechnungen_Lastgang!$BD$2,Berechnungen_Lastgang!BE58,IF(Berechnung_Diagramme!$C$28=Berechnungen_Lastgang!$BN$2,Berechnungen_Lastgang!BO58,IF(Berechnung_Diagramme!$C$28=Berechnungen_Lastgang!$BX$2,Berechnungen_Lastgang!BY58,IF(Berechnung_Diagramme!$C$28=Berechnungen_Lastgang!$CH$2,Berechnungen_Lastgang!CI58,IF(Berechnung_Diagramme!$C$28=Berechnungen_Lastgang!$CR$2,Berechnungen_Lastgang!CS58,IF(Berechnung_Diagramme!$C$28=Berechnungen_Lastgang!$DB$2,Berechnungen_Lastgang!DC58,IF(Berechnung_Diagramme!$C$28=Berechnungen_Lastgang!$DL$2,Berechnungen_Lastgang!DM58,IF(Berechnung_Diagramme!$C$28=Berechnungen_Lastgang!$DV$2,Berechnungen_Lastgang!DW58,IF(Berechnung_Diagramme!$C$28=Berechnungen_Lastgang!$EF$2,Berechnungen_Lastgang!EG58,IF(Berechnung_Diagramme!$C$28=Berechnungen_Lastgang!$EP$2,Berechnungen_Lastgang!EQ58,IF(Berechnung_Diagramme!$C$28=Berechnungen_Lastgang!$EZ$2,Berechnungen_Lastgang!FA58,IF(Berechnung_Diagramme!$C$28=Berechnungen_Lastgang!$FJ$2,Berechnungen_Lastgang!FK58,IF(Berechnung_Diagramme!$C$28=Berechnungen_Lastgang!$FT$2,Berechnungen_Lastgang!FU58,IF(Berechnung_Diagramme!$C$28=Berechnungen_Lastgang!$GD$2,Berechnungen_Lastgang!GE58,IF(Berechnung_Diagramme!$C$28=Berechnungen_Lastgang!$GN$2,Berechnungen_Lastgang!GO58,""))))))))))))))))))))</f>
        <v>12.055680000000001</v>
      </c>
    </row>
    <row r="59" spans="2:207" x14ac:dyDescent="0.25">
      <c r="B59" s="64">
        <v>3942</v>
      </c>
      <c r="C59" s="67">
        <f>C58+((C60-C58)/(B60-B58))*(B59-B58)</f>
        <v>12.01014</v>
      </c>
      <c r="D59" s="66">
        <f t="shared" si="61"/>
        <v>875.07801000000006</v>
      </c>
      <c r="F59" s="64">
        <v>3942</v>
      </c>
      <c r="G59" s="225">
        <f>IF($C59&gt;=Wirtschaftlichkeit!$G$8,Wirtschaftlichkeit!$G$8,IF(AND($C59&lt;=Wirtschaftlichkeit!$G$8,$C59&gt;=Wirtschaftlichkeit!$G$8*Eingabemaske!$B$18),$C59,"0"))</f>
        <v>2.8333333333333335</v>
      </c>
      <c r="H59" s="64">
        <v>3942</v>
      </c>
      <c r="I59" s="66">
        <f t="shared" si="62"/>
        <v>206.83333333333334</v>
      </c>
      <c r="J59" s="64">
        <v>3942</v>
      </c>
      <c r="K59" s="71">
        <f t="shared" si="63"/>
        <v>2.8333333333333335</v>
      </c>
      <c r="L59" s="312">
        <v>3942</v>
      </c>
      <c r="M59" s="286">
        <f>G59*Wirtschaftlichkeit!$G$5/Wirtschaftlichkeit!$G$7</f>
        <v>1</v>
      </c>
      <c r="N59" s="284">
        <f t="shared" si="3"/>
        <v>73</v>
      </c>
      <c r="P59" s="222">
        <v>3942</v>
      </c>
      <c r="Q59" s="225">
        <f>IF($C59&gt;=Wirtschaftlichkeit!$H$8,Wirtschaftlichkeit!$H$8,IF(AND($C59&lt;=Wirtschaftlichkeit!$H$8,$C59&gt;=Wirtschaftlichkeit!$H$8*Eingabemaske!$B$18),$C59,"0"))</f>
        <v>5.5876288659793811</v>
      </c>
      <c r="R59" s="222">
        <v>3942</v>
      </c>
      <c r="S59" s="224">
        <f t="shared" si="4"/>
        <v>407.89690721649481</v>
      </c>
      <c r="T59" s="222">
        <v>3942</v>
      </c>
      <c r="U59" s="226">
        <f t="shared" si="5"/>
        <v>5.5876288659793811</v>
      </c>
      <c r="V59" s="312">
        <v>3942</v>
      </c>
      <c r="W59" s="286">
        <f>Q59*Wirtschaftlichkeit!$H$5/Wirtschaftlichkeit!$H$7</f>
        <v>2</v>
      </c>
      <c r="X59" s="284">
        <f t="shared" si="6"/>
        <v>146</v>
      </c>
      <c r="Z59" s="222">
        <v>3942</v>
      </c>
      <c r="AA59" s="225">
        <f>IF($C59&gt;=Wirtschaftlichkeit!$I$8,Wirtschaftlichkeit!$I$8,IF(AND($C59&lt;=Wirtschaftlichkeit!$I$8,$C59&gt;=Wirtschaftlichkeit!$I$8*Eingabemaske!$B$18),$C59,"0"))</f>
        <v>8.2471643149712612</v>
      </c>
      <c r="AB59" s="222">
        <v>3942</v>
      </c>
      <c r="AC59" s="224">
        <f t="shared" si="7"/>
        <v>602.04299499290209</v>
      </c>
      <c r="AD59" s="222">
        <v>3942</v>
      </c>
      <c r="AE59" s="226">
        <f t="shared" si="8"/>
        <v>8.2471643149712612</v>
      </c>
      <c r="AF59" s="312">
        <v>3942</v>
      </c>
      <c r="AG59" s="286">
        <f>AA59*Wirtschaftlichkeit!$I$5/Wirtschaftlichkeit!$I$7</f>
        <v>3.0000000000000004</v>
      </c>
      <c r="AH59" s="284">
        <f t="shared" si="9"/>
        <v>219.00000000000003</v>
      </c>
      <c r="AJ59" s="222">
        <v>3942</v>
      </c>
      <c r="AK59" s="225">
        <f>IF($C59&gt;=Wirtschaftlichkeit!$J$8,Wirtschaftlichkeit!$J$8,IF(AND($C59&lt;=Wirtschaftlichkeit!$J$8,$C59&gt;=Wirtschaftlichkeit!$J$8*Eingabemaske!$B$18),$C59,"0"))</f>
        <v>10.537455322965799</v>
      </c>
      <c r="AL59" s="222">
        <v>3942</v>
      </c>
      <c r="AM59" s="224">
        <f t="shared" si="10"/>
        <v>769.23423857650334</v>
      </c>
      <c r="AN59" s="222">
        <v>3942</v>
      </c>
      <c r="AO59" s="226">
        <f t="shared" si="11"/>
        <v>10.537455322965799</v>
      </c>
      <c r="AP59" s="312">
        <v>3942</v>
      </c>
      <c r="AQ59" s="286">
        <f>AK59*Wirtschaftlichkeit!$J$5/Wirtschaftlichkeit!$J$7</f>
        <v>4</v>
      </c>
      <c r="AR59" s="284">
        <f t="shared" si="12"/>
        <v>292</v>
      </c>
      <c r="AT59" s="222">
        <v>3942</v>
      </c>
      <c r="AU59" s="225">
        <f>IF($C59&gt;=Wirtschaftlichkeit!$K$8,Wirtschaftlichkeit!$K$8,IF(AND($C59&lt;=Wirtschaftlichkeit!$K$8,$C59&gt;=Wirtschaftlichkeit!$K$8*Eingabemaske!$B$18),$C59,"0"))</f>
        <v>12.01014</v>
      </c>
      <c r="AV59" s="222">
        <v>3942</v>
      </c>
      <c r="AW59" s="224">
        <f t="shared" si="13"/>
        <v>875.07801000000006</v>
      </c>
      <c r="AX59" s="222">
        <v>3942</v>
      </c>
      <c r="AY59" s="226">
        <f t="shared" si="14"/>
        <v>12.01014</v>
      </c>
      <c r="AZ59" s="312">
        <v>3942</v>
      </c>
      <c r="BA59" s="286">
        <f>AU59*Wirtschaftlichkeit!$K$5/Wirtschaftlichkeit!$K$7</f>
        <v>4.7138805338310652</v>
      </c>
      <c r="BB59" s="284">
        <f t="shared" si="15"/>
        <v>343.46087530392043</v>
      </c>
      <c r="BD59" s="222">
        <v>3942</v>
      </c>
      <c r="BE59" s="225">
        <f>IF($C59&gt;=Wirtschaftlichkeit!$L$8,Wirtschaftlichkeit!$L$8,IF(AND($C59&lt;=Wirtschaftlichkeit!$L$8,$C59&gt;=Wirtschaftlichkeit!$L$8*Eingabemaske!$B$18),$C59,"0"))</f>
        <v>12.01014</v>
      </c>
      <c r="BF59" s="222">
        <v>3942</v>
      </c>
      <c r="BG59" s="224">
        <f t="shared" si="16"/>
        <v>875.07801000000006</v>
      </c>
      <c r="BH59" s="222">
        <v>3942</v>
      </c>
      <c r="BI59" s="226">
        <f t="shared" si="17"/>
        <v>12.01014</v>
      </c>
      <c r="BJ59" s="312">
        <v>3942</v>
      </c>
      <c r="BK59" s="286">
        <f>BE59*Wirtschaftlichkeit!$L$5/Wirtschaftlichkeit!$L$7</f>
        <v>4.8454389863283822</v>
      </c>
      <c r="BL59" s="284">
        <f t="shared" si="18"/>
        <v>353.04643457383992</v>
      </c>
      <c r="BN59" s="222">
        <v>3942</v>
      </c>
      <c r="BO59" s="225">
        <f>IF($C59&gt;=Wirtschaftlichkeit!$M$8,Wirtschaftlichkeit!$M$8,IF(AND($C59&lt;=Wirtschaftlichkeit!$M$8,$C59&gt;=Wirtschaftlichkeit!$M$8*Eingabemaske!$B$18),$C59,"0"))</f>
        <v>12.01014</v>
      </c>
      <c r="BP59" s="222">
        <v>3942</v>
      </c>
      <c r="BQ59" s="224">
        <f t="shared" si="19"/>
        <v>875.07801000000006</v>
      </c>
      <c r="BR59" s="222">
        <v>3942</v>
      </c>
      <c r="BS59" s="226">
        <f t="shared" si="20"/>
        <v>12.01014</v>
      </c>
      <c r="BT59" s="312">
        <v>3942</v>
      </c>
      <c r="BU59" s="286">
        <f>BO59*Wirtschaftlichkeit!$M$5/Wirtschaftlichkeit!$M$7</f>
        <v>4.9603785420017914</v>
      </c>
      <c r="BV59" s="284">
        <f t="shared" si="21"/>
        <v>361.42111444010055</v>
      </c>
      <c r="BX59" s="222">
        <v>3942</v>
      </c>
      <c r="BY59" s="225">
        <f>IF($C59&gt;=Wirtschaftlichkeit!$N$8,Wirtschaftlichkeit!$N$8,IF(AND($C59&lt;=Wirtschaftlichkeit!$N$8,$C59&gt;=Wirtschaftlichkeit!$N$8*Eingabemaske!$B$18),$C59,"0"))</f>
        <v>12.01014</v>
      </c>
      <c r="BZ59" s="222">
        <v>3942</v>
      </c>
      <c r="CA59" s="224">
        <f t="shared" si="22"/>
        <v>875.07801000000006</v>
      </c>
      <c r="CB59" s="222">
        <v>3942</v>
      </c>
      <c r="CC59" s="226">
        <f t="shared" si="23"/>
        <v>12.01014</v>
      </c>
      <c r="CD59" s="312">
        <v>3942</v>
      </c>
      <c r="CE59" s="286">
        <f>BY59*Wirtschaftlichkeit!$N$5/Wirtschaftlichkeit!$N$7</f>
        <v>5.0628063048074017</v>
      </c>
      <c r="CF59" s="284">
        <f t="shared" si="24"/>
        <v>368.8841650660454</v>
      </c>
      <c r="CH59" s="222">
        <v>3942</v>
      </c>
      <c r="CI59" s="225">
        <f>IF($C59&gt;=Wirtschaftlichkeit!$O$8,Wirtschaftlichkeit!$O$8,IF(AND($C59&lt;=Wirtschaftlichkeit!$O$8,$C59&gt;=Wirtschaftlichkeit!$O$8*Eingabemaske!$B$18),$C59,"0"))</f>
        <v>12.01014</v>
      </c>
      <c r="CJ59" s="222">
        <v>3942</v>
      </c>
      <c r="CK59" s="224">
        <f t="shared" si="25"/>
        <v>875.07801000000006</v>
      </c>
      <c r="CL59" s="222">
        <v>3942</v>
      </c>
      <c r="CM59" s="226">
        <f t="shared" si="26"/>
        <v>12.01014</v>
      </c>
      <c r="CN59" s="312">
        <v>3942</v>
      </c>
      <c r="CO59" s="286">
        <f>CI59*Wirtschaftlichkeit!$O$5/Wirtschaftlichkeit!$O$7</f>
        <v>5.1554409434077462</v>
      </c>
      <c r="CP59" s="284">
        <f t="shared" si="27"/>
        <v>375.63367299879712</v>
      </c>
      <c r="CR59" s="222">
        <v>3942</v>
      </c>
      <c r="CS59" s="225">
        <f>IF($C59&gt;=Wirtschaftlichkeit!$P$8,Wirtschaftlichkeit!$P$8,IF(AND($C59&lt;=Wirtschaftlichkeit!$P$8,$C59&gt;=Wirtschaftlichkeit!$P$8*Eingabemaske!$B$18),$C59,"0"))</f>
        <v>12.01014</v>
      </c>
      <c r="CT59" s="222">
        <v>3942</v>
      </c>
      <c r="CU59" s="224">
        <f t="shared" si="28"/>
        <v>875.07801000000006</v>
      </c>
      <c r="CV59" s="222">
        <v>3942</v>
      </c>
      <c r="CW59" s="226">
        <f t="shared" si="29"/>
        <v>12.01014</v>
      </c>
      <c r="CX59" s="312">
        <v>3942</v>
      </c>
      <c r="CY59" s="286">
        <f>CS59*Wirtschaftlichkeit!$P$5/Wirtschaftlichkeit!$P$7</f>
        <v>5.2401812094468374</v>
      </c>
      <c r="CZ59" s="284">
        <f t="shared" si="30"/>
        <v>381.80798432009385</v>
      </c>
      <c r="DB59" s="222">
        <v>3942</v>
      </c>
      <c r="DC59" s="225" t="str">
        <f>IF($C59&gt;=Wirtschaftlichkeit!$Q$8,Wirtschaftlichkeit!$Q$8,IF(AND($C59&lt;=Wirtschaftlichkeit!$Q$8,$C59&gt;=Wirtschaftlichkeit!$Q$8*Eingabemaske!$B$18),$C59,"0"))</f>
        <v>0</v>
      </c>
      <c r="DD59" s="222">
        <v>3942</v>
      </c>
      <c r="DE59" s="224">
        <f t="shared" si="31"/>
        <v>0</v>
      </c>
      <c r="DF59" s="222">
        <v>3942</v>
      </c>
      <c r="DG59" s="226" t="str">
        <f t="shared" si="32"/>
        <v xml:space="preserve"> </v>
      </c>
      <c r="DH59" s="312">
        <v>3942</v>
      </c>
      <c r="DI59" s="286">
        <f>DC59*Wirtschaftlichkeit!$Q$5/Wirtschaftlichkeit!$Q$7</f>
        <v>0</v>
      </c>
      <c r="DJ59" s="284">
        <f t="shared" si="33"/>
        <v>0</v>
      </c>
      <c r="DL59" s="222">
        <v>3942</v>
      </c>
      <c r="DM59" s="225" t="str">
        <f>IF($C59&gt;=Wirtschaftlichkeit!$R$8,Wirtschaftlichkeit!$R$8,IF(AND($C59&lt;=Wirtschaftlichkeit!$R$8,$C59&gt;=Wirtschaftlichkeit!$R$8*Eingabemaske!$B$18),$C59,"0"))</f>
        <v>0</v>
      </c>
      <c r="DN59" s="222">
        <v>3942</v>
      </c>
      <c r="DO59" s="224">
        <f t="shared" si="34"/>
        <v>0</v>
      </c>
      <c r="DP59" s="222">
        <v>3942</v>
      </c>
      <c r="DQ59" s="226" t="str">
        <f t="shared" si="35"/>
        <v xml:space="preserve"> </v>
      </c>
      <c r="DR59" s="312">
        <v>3942</v>
      </c>
      <c r="DS59" s="286">
        <f>DM59*Wirtschaftlichkeit!$R$5/Wirtschaftlichkeit!$R$7</f>
        <v>0</v>
      </c>
      <c r="DT59" s="284">
        <f t="shared" si="36"/>
        <v>0</v>
      </c>
      <c r="DV59" s="222">
        <v>3942</v>
      </c>
      <c r="DW59" s="225" t="str">
        <f>IF($C59&gt;=Wirtschaftlichkeit!$S$8,Wirtschaftlichkeit!$S$8,IF(AND($C59&lt;=Wirtschaftlichkeit!$S$8,$C59&gt;=Wirtschaftlichkeit!$S$8*Eingabemaske!$B$18),$C59,"0"))</f>
        <v>0</v>
      </c>
      <c r="DX59" s="222">
        <v>3942</v>
      </c>
      <c r="DY59" s="224">
        <f t="shared" si="37"/>
        <v>0</v>
      </c>
      <c r="DZ59" s="222">
        <v>3942</v>
      </c>
      <c r="EA59" s="226" t="str">
        <f t="shared" si="38"/>
        <v xml:space="preserve"> </v>
      </c>
      <c r="EB59" s="312">
        <v>3942</v>
      </c>
      <c r="EC59" s="286">
        <f>DW59*Wirtschaftlichkeit!$S$5/Wirtschaftlichkeit!$S$7</f>
        <v>0</v>
      </c>
      <c r="ED59" s="284">
        <f t="shared" si="39"/>
        <v>0</v>
      </c>
      <c r="EF59" s="222">
        <v>3942</v>
      </c>
      <c r="EG59" s="225" t="str">
        <f>IF($C59&gt;=Wirtschaftlichkeit!$T$8,Wirtschaftlichkeit!$T$8,IF(AND($C59&lt;=Wirtschaftlichkeit!$T$8,$C59&gt;=Wirtschaftlichkeit!$T$8*Eingabemaske!$B$18),$C59,"0"))</f>
        <v>0</v>
      </c>
      <c r="EH59" s="222">
        <v>3942</v>
      </c>
      <c r="EI59" s="224">
        <f t="shared" si="40"/>
        <v>0</v>
      </c>
      <c r="EJ59" s="222">
        <v>3942</v>
      </c>
      <c r="EK59" s="226" t="str">
        <f t="shared" si="41"/>
        <v xml:space="preserve"> </v>
      </c>
      <c r="EL59" s="312">
        <v>3942</v>
      </c>
      <c r="EM59" s="286">
        <f>EG59*Wirtschaftlichkeit!$T$5/Wirtschaftlichkeit!$T$7</f>
        <v>0</v>
      </c>
      <c r="EN59" s="284">
        <f t="shared" si="42"/>
        <v>0</v>
      </c>
      <c r="EP59" s="222">
        <v>3942</v>
      </c>
      <c r="EQ59" s="225" t="str">
        <f>IF($C59&gt;=Wirtschaftlichkeit!$U$8,Wirtschaftlichkeit!$U$8,IF(AND($C59&lt;=Wirtschaftlichkeit!$U$8,$C59&gt;=Wirtschaftlichkeit!$U$8*Eingabemaske!$B$18),$C59,"0"))</f>
        <v>0</v>
      </c>
      <c r="ER59" s="222">
        <v>3942</v>
      </c>
      <c r="ES59" s="224">
        <f t="shared" si="43"/>
        <v>0</v>
      </c>
      <c r="ET59" s="222">
        <v>3942</v>
      </c>
      <c r="EU59" s="226" t="str">
        <f t="shared" si="44"/>
        <v xml:space="preserve"> </v>
      </c>
      <c r="EV59" s="312">
        <v>3942</v>
      </c>
      <c r="EW59" s="286">
        <f>EQ59*Wirtschaftlichkeit!$U$5/Wirtschaftlichkeit!$U$7</f>
        <v>0</v>
      </c>
      <c r="EX59" s="284">
        <f t="shared" si="45"/>
        <v>0</v>
      </c>
      <c r="EZ59" s="222">
        <v>3942</v>
      </c>
      <c r="FA59" s="225" t="str">
        <f>IF($C59&gt;=Wirtschaftlichkeit!$V$8,Wirtschaftlichkeit!$V$8,IF(AND($C59&lt;=Wirtschaftlichkeit!$V$8,$C59&gt;=Wirtschaftlichkeit!$V$8*Eingabemaske!$B$18),$C59,"0"))</f>
        <v>0</v>
      </c>
      <c r="FB59" s="222">
        <v>3942</v>
      </c>
      <c r="FC59" s="224">
        <f t="shared" si="46"/>
        <v>0</v>
      </c>
      <c r="FD59" s="222">
        <v>3942</v>
      </c>
      <c r="FE59" s="226" t="str">
        <f t="shared" si="47"/>
        <v xml:space="preserve"> </v>
      </c>
      <c r="FF59" s="312">
        <v>3942</v>
      </c>
      <c r="FG59" s="286">
        <f>FA59*Wirtschaftlichkeit!$V$5/Wirtschaftlichkeit!$V$7</f>
        <v>0</v>
      </c>
      <c r="FH59" s="284">
        <f t="shared" si="48"/>
        <v>0</v>
      </c>
      <c r="FJ59" s="222">
        <v>3942</v>
      </c>
      <c r="FK59" s="225" t="str">
        <f>IF($C59&gt;=Wirtschaftlichkeit!$W$8,Wirtschaftlichkeit!$W$8,IF(AND($C59&lt;=Wirtschaftlichkeit!$W$8,$C59&gt;=Wirtschaftlichkeit!$W$8*Eingabemaske!$B$18),$C59,"0"))</f>
        <v>0</v>
      </c>
      <c r="FL59" s="222">
        <v>3942</v>
      </c>
      <c r="FM59" s="224">
        <f t="shared" si="49"/>
        <v>0</v>
      </c>
      <c r="FN59" s="222">
        <v>3942</v>
      </c>
      <c r="FO59" s="226" t="str">
        <f t="shared" si="50"/>
        <v xml:space="preserve"> </v>
      </c>
      <c r="FP59" s="312">
        <v>3942</v>
      </c>
      <c r="FQ59" s="286">
        <f>FK59*Wirtschaftlichkeit!$W$5/Wirtschaftlichkeit!$W$7</f>
        <v>0</v>
      </c>
      <c r="FR59" s="284">
        <f t="shared" si="51"/>
        <v>0</v>
      </c>
      <c r="FT59" s="222">
        <v>3942</v>
      </c>
      <c r="FU59" s="225" t="str">
        <f>IF($C59&gt;=Wirtschaftlichkeit!$X$8,Wirtschaftlichkeit!$X$8,IF(AND($C59&lt;=Wirtschaftlichkeit!$X$8,$C59&gt;=Wirtschaftlichkeit!$X$8*Eingabemaske!$B$18),$C59,"0"))</f>
        <v>0</v>
      </c>
      <c r="FV59" s="222">
        <v>3942</v>
      </c>
      <c r="FW59" s="224">
        <f t="shared" si="52"/>
        <v>0</v>
      </c>
      <c r="FX59" s="222">
        <v>3942</v>
      </c>
      <c r="FY59" s="226" t="str">
        <f t="shared" si="53"/>
        <v xml:space="preserve"> </v>
      </c>
      <c r="FZ59" s="312">
        <v>3942</v>
      </c>
      <c r="GA59" s="286">
        <f>FU59*Wirtschaftlichkeit!$X$5/Wirtschaftlichkeit!$X$7</f>
        <v>0</v>
      </c>
      <c r="GB59" s="284">
        <f t="shared" si="54"/>
        <v>0</v>
      </c>
      <c r="GD59" s="222">
        <v>3942</v>
      </c>
      <c r="GE59" s="225" t="str">
        <f>IF($C59&gt;=Wirtschaftlichkeit!$Y$8,Wirtschaftlichkeit!$Y$8,IF(AND($C59&lt;=Wirtschaftlichkeit!$Y$8,$C59&gt;=Wirtschaftlichkeit!$Y$8*Eingabemaske!$B$18),$C59,"0"))</f>
        <v>0</v>
      </c>
      <c r="GF59" s="222">
        <v>3942</v>
      </c>
      <c r="GG59" s="224">
        <f t="shared" si="55"/>
        <v>0</v>
      </c>
      <c r="GH59" s="222">
        <v>3942</v>
      </c>
      <c r="GI59" s="226" t="str">
        <f t="shared" si="56"/>
        <v xml:space="preserve"> </v>
      </c>
      <c r="GJ59" s="312">
        <v>3942</v>
      </c>
      <c r="GK59" s="286">
        <f>GE59*Wirtschaftlichkeit!$Y$5/Wirtschaftlichkeit!$Y$7</f>
        <v>0</v>
      </c>
      <c r="GL59" s="284">
        <f t="shared" si="57"/>
        <v>0</v>
      </c>
      <c r="GN59" s="222">
        <v>3942</v>
      </c>
      <c r="GO59" s="225" t="str">
        <f>IF($C59&gt;=Wirtschaftlichkeit!$Z$8,Wirtschaftlichkeit!$Z$8,IF(AND($C59&lt;=Wirtschaftlichkeit!$Z$8,$C59&gt;=Wirtschaftlichkeit!$Z$8*Eingabemaske!$B$18),$C59,"0"))</f>
        <v>0</v>
      </c>
      <c r="GP59" s="222">
        <v>3942</v>
      </c>
      <c r="GQ59" s="224">
        <f t="shared" si="58"/>
        <v>0</v>
      </c>
      <c r="GR59" s="222">
        <v>3942</v>
      </c>
      <c r="GS59" s="226" t="str">
        <f t="shared" si="59"/>
        <v xml:space="preserve"> </v>
      </c>
      <c r="GT59" s="312">
        <v>3942</v>
      </c>
      <c r="GU59" s="286">
        <f>GO59*Wirtschaftlichkeit!$Z$5/Wirtschaftlichkeit!$Z$7</f>
        <v>0</v>
      </c>
      <c r="GV59" s="284">
        <f t="shared" si="60"/>
        <v>0</v>
      </c>
      <c r="GW59" s="266"/>
      <c r="GX59" s="258">
        <v>3942</v>
      </c>
      <c r="GY59" s="270">
        <f>IF(Berechnung_Diagramme!$C$28=Berechnungen_Lastgang!$F$2,Berechnungen_Lastgang!G59,IF(Berechnung_Diagramme!$C$28=Berechnungen_Lastgang!$P$2,Berechnungen_Lastgang!Q59,IF(Berechnung_Diagramme!$C$28=Berechnungen_Lastgang!$Z$2,Berechnungen_Lastgang!AA59,IF(Berechnung_Diagramme!$C$28=Berechnungen_Lastgang!$AJ$2,Berechnungen_Lastgang!AK59,IF(Berechnung_Diagramme!$C$28=Berechnungen_Lastgang!$AT$2,Berechnungen_Lastgang!AU59,IF(Berechnung_Diagramme!$C$28=Berechnungen_Lastgang!$BD$2,Berechnungen_Lastgang!BE59,IF(Berechnung_Diagramme!$C$28=Berechnungen_Lastgang!$BN$2,Berechnungen_Lastgang!BO59,IF(Berechnung_Diagramme!$C$28=Berechnungen_Lastgang!$BX$2,Berechnungen_Lastgang!BY59,IF(Berechnung_Diagramme!$C$28=Berechnungen_Lastgang!$CH$2,Berechnungen_Lastgang!CI59,IF(Berechnung_Diagramme!$C$28=Berechnungen_Lastgang!$CR$2,Berechnungen_Lastgang!CS59,IF(Berechnung_Diagramme!$C$28=Berechnungen_Lastgang!$DB$2,Berechnungen_Lastgang!DC59,IF(Berechnung_Diagramme!$C$28=Berechnungen_Lastgang!$DL$2,Berechnungen_Lastgang!DM59,IF(Berechnung_Diagramme!$C$28=Berechnungen_Lastgang!$DV$2,Berechnungen_Lastgang!DW59,IF(Berechnung_Diagramme!$C$28=Berechnungen_Lastgang!$EF$2,Berechnungen_Lastgang!EG59,IF(Berechnung_Diagramme!$C$28=Berechnungen_Lastgang!$EP$2,Berechnungen_Lastgang!EQ59,IF(Berechnung_Diagramme!$C$28=Berechnungen_Lastgang!$EZ$2,Berechnungen_Lastgang!FA59,IF(Berechnung_Diagramme!$C$28=Berechnungen_Lastgang!$FJ$2,Berechnungen_Lastgang!FK59,IF(Berechnung_Diagramme!$C$28=Berechnungen_Lastgang!$FT$2,Berechnungen_Lastgang!FU59,IF(Berechnung_Diagramme!$C$28=Berechnungen_Lastgang!$GD$2,Berechnungen_Lastgang!GE59,IF(Berechnung_Diagramme!$C$28=Berechnungen_Lastgang!$GN$2,Berechnungen_Lastgang!GO59,""))))))))))))))))))))</f>
        <v>12.01014</v>
      </c>
    </row>
    <row r="60" spans="2:207" x14ac:dyDescent="0.25">
      <c r="B60" s="64">
        <v>4015</v>
      </c>
      <c r="C60" s="67">
        <f>(C55+C65)/2</f>
        <v>11.964600000000001</v>
      </c>
      <c r="D60" s="66">
        <f t="shared" si="61"/>
        <v>871.75358999999992</v>
      </c>
      <c r="F60" s="64">
        <v>4015</v>
      </c>
      <c r="G60" s="225">
        <f>IF($C60&gt;=Wirtschaftlichkeit!$G$8,Wirtschaftlichkeit!$G$8,IF(AND($C60&lt;=Wirtschaftlichkeit!$G$8,$C60&gt;=Wirtschaftlichkeit!$G$8*Eingabemaske!$B$18),$C60,"0"))</f>
        <v>2.8333333333333335</v>
      </c>
      <c r="H60" s="64">
        <v>4015</v>
      </c>
      <c r="I60" s="66">
        <f t="shared" si="62"/>
        <v>206.83333333333334</v>
      </c>
      <c r="J60" s="64">
        <v>4015</v>
      </c>
      <c r="K60" s="71">
        <f t="shared" si="63"/>
        <v>2.8333333333333335</v>
      </c>
      <c r="L60" s="312">
        <v>4015</v>
      </c>
      <c r="M60" s="286">
        <f>G60*Wirtschaftlichkeit!$G$5/Wirtschaftlichkeit!$G$7</f>
        <v>1</v>
      </c>
      <c r="N60" s="284">
        <f t="shared" si="3"/>
        <v>73</v>
      </c>
      <c r="P60" s="222">
        <v>4015</v>
      </c>
      <c r="Q60" s="225">
        <f>IF($C60&gt;=Wirtschaftlichkeit!$H$8,Wirtschaftlichkeit!$H$8,IF(AND($C60&lt;=Wirtschaftlichkeit!$H$8,$C60&gt;=Wirtschaftlichkeit!$H$8*Eingabemaske!$B$18),$C60,"0"))</f>
        <v>5.5876288659793811</v>
      </c>
      <c r="R60" s="222">
        <v>4015</v>
      </c>
      <c r="S60" s="224">
        <f t="shared" si="4"/>
        <v>407.89690721649481</v>
      </c>
      <c r="T60" s="222">
        <v>4015</v>
      </c>
      <c r="U60" s="226">
        <f t="shared" si="5"/>
        <v>5.5876288659793811</v>
      </c>
      <c r="V60" s="312">
        <v>4015</v>
      </c>
      <c r="W60" s="286">
        <f>Q60*Wirtschaftlichkeit!$H$5/Wirtschaftlichkeit!$H$7</f>
        <v>2</v>
      </c>
      <c r="X60" s="284">
        <f t="shared" si="6"/>
        <v>146</v>
      </c>
      <c r="Z60" s="222">
        <v>4015</v>
      </c>
      <c r="AA60" s="225">
        <f>IF($C60&gt;=Wirtschaftlichkeit!$I$8,Wirtschaftlichkeit!$I$8,IF(AND($C60&lt;=Wirtschaftlichkeit!$I$8,$C60&gt;=Wirtschaftlichkeit!$I$8*Eingabemaske!$B$18),$C60,"0"))</f>
        <v>8.2471643149712612</v>
      </c>
      <c r="AB60" s="222">
        <v>4015</v>
      </c>
      <c r="AC60" s="224">
        <f t="shared" si="7"/>
        <v>602.04299499290209</v>
      </c>
      <c r="AD60" s="222">
        <v>4015</v>
      </c>
      <c r="AE60" s="226">
        <f t="shared" si="8"/>
        <v>8.2471643149712612</v>
      </c>
      <c r="AF60" s="312">
        <v>4015</v>
      </c>
      <c r="AG60" s="286">
        <f>AA60*Wirtschaftlichkeit!$I$5/Wirtschaftlichkeit!$I$7</f>
        <v>3.0000000000000004</v>
      </c>
      <c r="AH60" s="284">
        <f t="shared" si="9"/>
        <v>219.00000000000003</v>
      </c>
      <c r="AJ60" s="222">
        <v>4015</v>
      </c>
      <c r="AK60" s="225">
        <f>IF($C60&gt;=Wirtschaftlichkeit!$J$8,Wirtschaftlichkeit!$J$8,IF(AND($C60&lt;=Wirtschaftlichkeit!$J$8,$C60&gt;=Wirtschaftlichkeit!$J$8*Eingabemaske!$B$18),$C60,"0"))</f>
        <v>10.537455322965799</v>
      </c>
      <c r="AL60" s="222">
        <v>4015</v>
      </c>
      <c r="AM60" s="224">
        <f t="shared" si="10"/>
        <v>769.23423857650334</v>
      </c>
      <c r="AN60" s="222">
        <v>4015</v>
      </c>
      <c r="AO60" s="226">
        <f t="shared" si="11"/>
        <v>10.537455322965799</v>
      </c>
      <c r="AP60" s="312">
        <v>4015</v>
      </c>
      <c r="AQ60" s="286">
        <f>AK60*Wirtschaftlichkeit!$J$5/Wirtschaftlichkeit!$J$7</f>
        <v>4</v>
      </c>
      <c r="AR60" s="284">
        <f t="shared" si="12"/>
        <v>292</v>
      </c>
      <c r="AT60" s="222">
        <v>4015</v>
      </c>
      <c r="AU60" s="225">
        <f>IF($C60&gt;=Wirtschaftlichkeit!$K$8,Wirtschaftlichkeit!$K$8,IF(AND($C60&lt;=Wirtschaftlichkeit!$K$8,$C60&gt;=Wirtschaftlichkeit!$K$8*Eingabemaske!$B$18),$C60,"0"))</f>
        <v>11.964600000000001</v>
      </c>
      <c r="AV60" s="222">
        <v>4015</v>
      </c>
      <c r="AW60" s="224">
        <f t="shared" si="13"/>
        <v>871.75358999999992</v>
      </c>
      <c r="AX60" s="222">
        <v>4015</v>
      </c>
      <c r="AY60" s="226">
        <f t="shared" si="14"/>
        <v>11.964600000000001</v>
      </c>
      <c r="AZ60" s="312">
        <v>4015</v>
      </c>
      <c r="BA60" s="286">
        <f>AU60*Wirtschaftlichkeit!$K$5/Wirtschaftlichkeit!$K$7</f>
        <v>4.696006460796891</v>
      </c>
      <c r="BB60" s="284">
        <f t="shared" si="15"/>
        <v>342.15606797242566</v>
      </c>
      <c r="BD60" s="222">
        <v>4015</v>
      </c>
      <c r="BE60" s="225">
        <f>IF($C60&gt;=Wirtschaftlichkeit!$L$8,Wirtschaftlichkeit!$L$8,IF(AND($C60&lt;=Wirtschaftlichkeit!$L$8,$C60&gt;=Wirtschaftlichkeit!$L$8*Eingabemaske!$B$18),$C60,"0"))</f>
        <v>11.964600000000001</v>
      </c>
      <c r="BF60" s="222">
        <v>4015</v>
      </c>
      <c r="BG60" s="224">
        <f t="shared" si="16"/>
        <v>871.75358999999992</v>
      </c>
      <c r="BH60" s="222">
        <v>4015</v>
      </c>
      <c r="BI60" s="226">
        <f t="shared" si="17"/>
        <v>11.964600000000001</v>
      </c>
      <c r="BJ60" s="312">
        <v>4015</v>
      </c>
      <c r="BK60" s="286">
        <f>BE60*Wirtschaftlichkeit!$L$5/Wirtschaftlichkeit!$L$7</f>
        <v>4.8270660704891499</v>
      </c>
      <c r="BL60" s="284">
        <f t="shared" si="18"/>
        <v>351.70521171757599</v>
      </c>
      <c r="BN60" s="222">
        <v>4015</v>
      </c>
      <c r="BO60" s="225">
        <f>IF($C60&gt;=Wirtschaftlichkeit!$M$8,Wirtschaftlichkeit!$M$8,IF(AND($C60&lt;=Wirtschaftlichkeit!$M$8,$C60&gt;=Wirtschaftlichkeit!$M$8*Eingabemaske!$B$18),$C60,"0"))</f>
        <v>11.964600000000001</v>
      </c>
      <c r="BP60" s="222">
        <v>4015</v>
      </c>
      <c r="BQ60" s="224">
        <f t="shared" si="19"/>
        <v>871.75358999999992</v>
      </c>
      <c r="BR60" s="222">
        <v>4015</v>
      </c>
      <c r="BS60" s="226">
        <f t="shared" si="20"/>
        <v>11.964600000000001</v>
      </c>
      <c r="BT60" s="312">
        <v>4015</v>
      </c>
      <c r="BU60" s="286">
        <f>BO60*Wirtschaftlichkeit!$M$5/Wirtschaftlichkeit!$M$7</f>
        <v>4.9415697988228811</v>
      </c>
      <c r="BV60" s="284">
        <f t="shared" si="21"/>
        <v>360.04807618804011</v>
      </c>
      <c r="BX60" s="222">
        <v>4015</v>
      </c>
      <c r="BY60" s="225">
        <f>IF($C60&gt;=Wirtschaftlichkeit!$N$8,Wirtschaftlichkeit!$N$8,IF(AND($C60&lt;=Wirtschaftlichkeit!$N$8,$C60&gt;=Wirtschaftlichkeit!$N$8*Eingabemaske!$B$18),$C60,"0"))</f>
        <v>11.964600000000001</v>
      </c>
      <c r="BZ60" s="222">
        <v>4015</v>
      </c>
      <c r="CA60" s="224">
        <f t="shared" si="22"/>
        <v>871.75358999999992</v>
      </c>
      <c r="CB60" s="222">
        <v>4015</v>
      </c>
      <c r="CC60" s="226">
        <f t="shared" si="23"/>
        <v>11.964600000000001</v>
      </c>
      <c r="CD60" s="312">
        <v>4015</v>
      </c>
      <c r="CE60" s="286">
        <f>BY60*Wirtschaftlichkeit!$N$5/Wirtschaftlichkeit!$N$7</f>
        <v>5.0436091764541162</v>
      </c>
      <c r="CF60" s="284">
        <f t="shared" si="24"/>
        <v>367.48277469625555</v>
      </c>
      <c r="CH60" s="222">
        <v>4015</v>
      </c>
      <c r="CI60" s="225">
        <f>IF($C60&gt;=Wirtschaftlichkeit!$O$8,Wirtschaftlichkeit!$O$8,IF(AND($C60&lt;=Wirtschaftlichkeit!$O$8,$C60&gt;=Wirtschaftlichkeit!$O$8*Eingabemaske!$B$18),$C60,"0"))</f>
        <v>11.964600000000001</v>
      </c>
      <c r="CJ60" s="222">
        <v>4015</v>
      </c>
      <c r="CK60" s="224">
        <f t="shared" si="25"/>
        <v>871.75358999999992</v>
      </c>
      <c r="CL60" s="222">
        <v>4015</v>
      </c>
      <c r="CM60" s="226">
        <f t="shared" si="26"/>
        <v>11.964600000000001</v>
      </c>
      <c r="CN60" s="312">
        <v>4015</v>
      </c>
      <c r="CO60" s="286">
        <f>CI60*Wirtschaftlichkeit!$O$5/Wirtschaftlichkeit!$O$7</f>
        <v>5.1358925634086132</v>
      </c>
      <c r="CP60" s="284">
        <f t="shared" si="27"/>
        <v>374.20664125886037</v>
      </c>
      <c r="CR60" s="222">
        <v>4015</v>
      </c>
      <c r="CS60" s="225">
        <f>IF($C60&gt;=Wirtschaftlichkeit!$P$8,Wirtschaftlichkeit!$P$8,IF(AND($C60&lt;=Wirtschaftlichkeit!$P$8,$C60&gt;=Wirtschaftlichkeit!$P$8*Eingabemaske!$B$18),$C60,"0"))</f>
        <v>11.964600000000001</v>
      </c>
      <c r="CT60" s="222">
        <v>4015</v>
      </c>
      <c r="CU60" s="224">
        <f t="shared" si="28"/>
        <v>871.75358999999992</v>
      </c>
      <c r="CV60" s="222">
        <v>4015</v>
      </c>
      <c r="CW60" s="226">
        <f t="shared" si="29"/>
        <v>11.964600000000001</v>
      </c>
      <c r="CX60" s="312">
        <v>4015</v>
      </c>
      <c r="CY60" s="286">
        <f>CS60*Wirtschaftlichkeit!$P$5/Wirtschaftlichkeit!$P$7</f>
        <v>5.2203115116516248</v>
      </c>
      <c r="CZ60" s="284">
        <f t="shared" si="30"/>
        <v>380.35749638104323</v>
      </c>
      <c r="DB60" s="222">
        <v>4015</v>
      </c>
      <c r="DC60" s="225" t="str">
        <f>IF($C60&gt;=Wirtschaftlichkeit!$Q$8,Wirtschaftlichkeit!$Q$8,IF(AND($C60&lt;=Wirtschaftlichkeit!$Q$8,$C60&gt;=Wirtschaftlichkeit!$Q$8*Eingabemaske!$B$18),$C60,"0"))</f>
        <v>0</v>
      </c>
      <c r="DD60" s="222">
        <v>4015</v>
      </c>
      <c r="DE60" s="224">
        <f t="shared" si="31"/>
        <v>0</v>
      </c>
      <c r="DF60" s="222">
        <v>4015</v>
      </c>
      <c r="DG60" s="226" t="str">
        <f t="shared" si="32"/>
        <v xml:space="preserve"> </v>
      </c>
      <c r="DH60" s="312">
        <v>4015</v>
      </c>
      <c r="DI60" s="286">
        <f>DC60*Wirtschaftlichkeit!$Q$5/Wirtschaftlichkeit!$Q$7</f>
        <v>0</v>
      </c>
      <c r="DJ60" s="284">
        <f t="shared" si="33"/>
        <v>0</v>
      </c>
      <c r="DL60" s="222">
        <v>4015</v>
      </c>
      <c r="DM60" s="225" t="str">
        <f>IF($C60&gt;=Wirtschaftlichkeit!$R$8,Wirtschaftlichkeit!$R$8,IF(AND($C60&lt;=Wirtschaftlichkeit!$R$8,$C60&gt;=Wirtschaftlichkeit!$R$8*Eingabemaske!$B$18),$C60,"0"))</f>
        <v>0</v>
      </c>
      <c r="DN60" s="222">
        <v>4015</v>
      </c>
      <c r="DO60" s="224">
        <f t="shared" si="34"/>
        <v>0</v>
      </c>
      <c r="DP60" s="222">
        <v>4015</v>
      </c>
      <c r="DQ60" s="226" t="str">
        <f t="shared" si="35"/>
        <v xml:space="preserve"> </v>
      </c>
      <c r="DR60" s="312">
        <v>4015</v>
      </c>
      <c r="DS60" s="286">
        <f>DM60*Wirtschaftlichkeit!$R$5/Wirtschaftlichkeit!$R$7</f>
        <v>0</v>
      </c>
      <c r="DT60" s="284">
        <f t="shared" si="36"/>
        <v>0</v>
      </c>
      <c r="DV60" s="222">
        <v>4015</v>
      </c>
      <c r="DW60" s="225" t="str">
        <f>IF($C60&gt;=Wirtschaftlichkeit!$S$8,Wirtschaftlichkeit!$S$8,IF(AND($C60&lt;=Wirtschaftlichkeit!$S$8,$C60&gt;=Wirtschaftlichkeit!$S$8*Eingabemaske!$B$18),$C60,"0"))</f>
        <v>0</v>
      </c>
      <c r="DX60" s="222">
        <v>4015</v>
      </c>
      <c r="DY60" s="224">
        <f t="shared" si="37"/>
        <v>0</v>
      </c>
      <c r="DZ60" s="222">
        <v>4015</v>
      </c>
      <c r="EA60" s="226" t="str">
        <f t="shared" si="38"/>
        <v xml:space="preserve"> </v>
      </c>
      <c r="EB60" s="312">
        <v>4015</v>
      </c>
      <c r="EC60" s="286">
        <f>DW60*Wirtschaftlichkeit!$S$5/Wirtschaftlichkeit!$S$7</f>
        <v>0</v>
      </c>
      <c r="ED60" s="284">
        <f t="shared" si="39"/>
        <v>0</v>
      </c>
      <c r="EF60" s="222">
        <v>4015</v>
      </c>
      <c r="EG60" s="225" t="str">
        <f>IF($C60&gt;=Wirtschaftlichkeit!$T$8,Wirtschaftlichkeit!$T$8,IF(AND($C60&lt;=Wirtschaftlichkeit!$T$8,$C60&gt;=Wirtschaftlichkeit!$T$8*Eingabemaske!$B$18),$C60,"0"))</f>
        <v>0</v>
      </c>
      <c r="EH60" s="222">
        <v>4015</v>
      </c>
      <c r="EI60" s="224">
        <f t="shared" si="40"/>
        <v>0</v>
      </c>
      <c r="EJ60" s="222">
        <v>4015</v>
      </c>
      <c r="EK60" s="226" t="str">
        <f t="shared" si="41"/>
        <v xml:space="preserve"> </v>
      </c>
      <c r="EL60" s="312">
        <v>4015</v>
      </c>
      <c r="EM60" s="286">
        <f>EG60*Wirtschaftlichkeit!$T$5/Wirtschaftlichkeit!$T$7</f>
        <v>0</v>
      </c>
      <c r="EN60" s="284">
        <f t="shared" si="42"/>
        <v>0</v>
      </c>
      <c r="EP60" s="222">
        <v>4015</v>
      </c>
      <c r="EQ60" s="225" t="str">
        <f>IF($C60&gt;=Wirtschaftlichkeit!$U$8,Wirtschaftlichkeit!$U$8,IF(AND($C60&lt;=Wirtschaftlichkeit!$U$8,$C60&gt;=Wirtschaftlichkeit!$U$8*Eingabemaske!$B$18),$C60,"0"))</f>
        <v>0</v>
      </c>
      <c r="ER60" s="222">
        <v>4015</v>
      </c>
      <c r="ES60" s="224">
        <f t="shared" si="43"/>
        <v>0</v>
      </c>
      <c r="ET60" s="222">
        <v>4015</v>
      </c>
      <c r="EU60" s="226" t="str">
        <f t="shared" si="44"/>
        <v xml:space="preserve"> </v>
      </c>
      <c r="EV60" s="312">
        <v>4015</v>
      </c>
      <c r="EW60" s="286">
        <f>EQ60*Wirtschaftlichkeit!$U$5/Wirtschaftlichkeit!$U$7</f>
        <v>0</v>
      </c>
      <c r="EX60" s="284">
        <f t="shared" si="45"/>
        <v>0</v>
      </c>
      <c r="EZ60" s="222">
        <v>4015</v>
      </c>
      <c r="FA60" s="225" t="str">
        <f>IF($C60&gt;=Wirtschaftlichkeit!$V$8,Wirtschaftlichkeit!$V$8,IF(AND($C60&lt;=Wirtschaftlichkeit!$V$8,$C60&gt;=Wirtschaftlichkeit!$V$8*Eingabemaske!$B$18),$C60,"0"))</f>
        <v>0</v>
      </c>
      <c r="FB60" s="222">
        <v>4015</v>
      </c>
      <c r="FC60" s="224">
        <f t="shared" si="46"/>
        <v>0</v>
      </c>
      <c r="FD60" s="222">
        <v>4015</v>
      </c>
      <c r="FE60" s="226" t="str">
        <f t="shared" si="47"/>
        <v xml:space="preserve"> </v>
      </c>
      <c r="FF60" s="312">
        <v>4015</v>
      </c>
      <c r="FG60" s="286">
        <f>FA60*Wirtschaftlichkeit!$V$5/Wirtschaftlichkeit!$V$7</f>
        <v>0</v>
      </c>
      <c r="FH60" s="284">
        <f t="shared" si="48"/>
        <v>0</v>
      </c>
      <c r="FJ60" s="222">
        <v>4015</v>
      </c>
      <c r="FK60" s="225" t="str">
        <f>IF($C60&gt;=Wirtschaftlichkeit!$W$8,Wirtschaftlichkeit!$W$8,IF(AND($C60&lt;=Wirtschaftlichkeit!$W$8,$C60&gt;=Wirtschaftlichkeit!$W$8*Eingabemaske!$B$18),$C60,"0"))</f>
        <v>0</v>
      </c>
      <c r="FL60" s="222">
        <v>4015</v>
      </c>
      <c r="FM60" s="224">
        <f t="shared" si="49"/>
        <v>0</v>
      </c>
      <c r="FN60" s="222">
        <v>4015</v>
      </c>
      <c r="FO60" s="226" t="str">
        <f t="shared" si="50"/>
        <v xml:space="preserve"> </v>
      </c>
      <c r="FP60" s="312">
        <v>4015</v>
      </c>
      <c r="FQ60" s="286">
        <f>FK60*Wirtschaftlichkeit!$W$5/Wirtschaftlichkeit!$W$7</f>
        <v>0</v>
      </c>
      <c r="FR60" s="284">
        <f t="shared" si="51"/>
        <v>0</v>
      </c>
      <c r="FT60" s="222">
        <v>4015</v>
      </c>
      <c r="FU60" s="225" t="str">
        <f>IF($C60&gt;=Wirtschaftlichkeit!$X$8,Wirtschaftlichkeit!$X$8,IF(AND($C60&lt;=Wirtschaftlichkeit!$X$8,$C60&gt;=Wirtschaftlichkeit!$X$8*Eingabemaske!$B$18),$C60,"0"))</f>
        <v>0</v>
      </c>
      <c r="FV60" s="222">
        <v>4015</v>
      </c>
      <c r="FW60" s="224">
        <f t="shared" si="52"/>
        <v>0</v>
      </c>
      <c r="FX60" s="222">
        <v>4015</v>
      </c>
      <c r="FY60" s="226" t="str">
        <f t="shared" si="53"/>
        <v xml:space="preserve"> </v>
      </c>
      <c r="FZ60" s="312">
        <v>4015</v>
      </c>
      <c r="GA60" s="286">
        <f>FU60*Wirtschaftlichkeit!$X$5/Wirtschaftlichkeit!$X$7</f>
        <v>0</v>
      </c>
      <c r="GB60" s="284">
        <f t="shared" si="54"/>
        <v>0</v>
      </c>
      <c r="GD60" s="222">
        <v>4015</v>
      </c>
      <c r="GE60" s="225" t="str">
        <f>IF($C60&gt;=Wirtschaftlichkeit!$Y$8,Wirtschaftlichkeit!$Y$8,IF(AND($C60&lt;=Wirtschaftlichkeit!$Y$8,$C60&gt;=Wirtschaftlichkeit!$Y$8*Eingabemaske!$B$18),$C60,"0"))</f>
        <v>0</v>
      </c>
      <c r="GF60" s="222">
        <v>4015</v>
      </c>
      <c r="GG60" s="224">
        <f t="shared" si="55"/>
        <v>0</v>
      </c>
      <c r="GH60" s="222">
        <v>4015</v>
      </c>
      <c r="GI60" s="226" t="str">
        <f t="shared" si="56"/>
        <v xml:space="preserve"> </v>
      </c>
      <c r="GJ60" s="312">
        <v>4015</v>
      </c>
      <c r="GK60" s="286">
        <f>GE60*Wirtschaftlichkeit!$Y$5/Wirtschaftlichkeit!$Y$7</f>
        <v>0</v>
      </c>
      <c r="GL60" s="284">
        <f t="shared" si="57"/>
        <v>0</v>
      </c>
      <c r="GN60" s="222">
        <v>4015</v>
      </c>
      <c r="GO60" s="225" t="str">
        <f>IF($C60&gt;=Wirtschaftlichkeit!$Z$8,Wirtschaftlichkeit!$Z$8,IF(AND($C60&lt;=Wirtschaftlichkeit!$Z$8,$C60&gt;=Wirtschaftlichkeit!$Z$8*Eingabemaske!$B$18),$C60,"0"))</f>
        <v>0</v>
      </c>
      <c r="GP60" s="222">
        <v>4015</v>
      </c>
      <c r="GQ60" s="224">
        <f t="shared" si="58"/>
        <v>0</v>
      </c>
      <c r="GR60" s="222">
        <v>4015</v>
      </c>
      <c r="GS60" s="226" t="str">
        <f t="shared" si="59"/>
        <v xml:space="preserve"> </v>
      </c>
      <c r="GT60" s="312">
        <v>4015</v>
      </c>
      <c r="GU60" s="286">
        <f>GO60*Wirtschaftlichkeit!$Z$5/Wirtschaftlichkeit!$Z$7</f>
        <v>0</v>
      </c>
      <c r="GV60" s="284">
        <f t="shared" si="60"/>
        <v>0</v>
      </c>
      <c r="GW60" s="266"/>
      <c r="GX60" s="258">
        <v>4015</v>
      </c>
      <c r="GY60" s="270">
        <f>IF(Berechnung_Diagramme!$C$28=Berechnungen_Lastgang!$F$2,Berechnungen_Lastgang!G60,IF(Berechnung_Diagramme!$C$28=Berechnungen_Lastgang!$P$2,Berechnungen_Lastgang!Q60,IF(Berechnung_Diagramme!$C$28=Berechnungen_Lastgang!$Z$2,Berechnungen_Lastgang!AA60,IF(Berechnung_Diagramme!$C$28=Berechnungen_Lastgang!$AJ$2,Berechnungen_Lastgang!AK60,IF(Berechnung_Diagramme!$C$28=Berechnungen_Lastgang!$AT$2,Berechnungen_Lastgang!AU60,IF(Berechnung_Diagramme!$C$28=Berechnungen_Lastgang!$BD$2,Berechnungen_Lastgang!BE60,IF(Berechnung_Diagramme!$C$28=Berechnungen_Lastgang!$BN$2,Berechnungen_Lastgang!BO60,IF(Berechnung_Diagramme!$C$28=Berechnungen_Lastgang!$BX$2,Berechnungen_Lastgang!BY60,IF(Berechnung_Diagramme!$C$28=Berechnungen_Lastgang!$CH$2,Berechnungen_Lastgang!CI60,IF(Berechnung_Diagramme!$C$28=Berechnungen_Lastgang!$CR$2,Berechnungen_Lastgang!CS60,IF(Berechnung_Diagramme!$C$28=Berechnungen_Lastgang!$DB$2,Berechnungen_Lastgang!DC60,IF(Berechnung_Diagramme!$C$28=Berechnungen_Lastgang!$DL$2,Berechnungen_Lastgang!DM60,IF(Berechnung_Diagramme!$C$28=Berechnungen_Lastgang!$DV$2,Berechnungen_Lastgang!DW60,IF(Berechnung_Diagramme!$C$28=Berechnungen_Lastgang!$EF$2,Berechnungen_Lastgang!EG60,IF(Berechnung_Diagramme!$C$28=Berechnungen_Lastgang!$EP$2,Berechnungen_Lastgang!EQ60,IF(Berechnung_Diagramme!$C$28=Berechnungen_Lastgang!$EZ$2,Berechnungen_Lastgang!FA60,IF(Berechnung_Diagramme!$C$28=Berechnungen_Lastgang!$FJ$2,Berechnungen_Lastgang!FK60,IF(Berechnung_Diagramme!$C$28=Berechnungen_Lastgang!$FT$2,Berechnungen_Lastgang!FU60,IF(Berechnung_Diagramme!$C$28=Berechnungen_Lastgang!$GD$2,Berechnungen_Lastgang!GE60,IF(Berechnung_Diagramme!$C$28=Berechnungen_Lastgang!$GN$2,Berechnungen_Lastgang!GO60,""))))))))))))))))))))</f>
        <v>11.964600000000001</v>
      </c>
    </row>
    <row r="61" spans="2:207" x14ac:dyDescent="0.25">
      <c r="B61" s="64">
        <v>4088</v>
      </c>
      <c r="C61" s="67">
        <f>C60+((C65-C60)/(B65-B60))*(B61-B60)</f>
        <v>11.91906</v>
      </c>
      <c r="D61" s="66">
        <f t="shared" si="61"/>
        <v>868.42917</v>
      </c>
      <c r="F61" s="64">
        <v>4088</v>
      </c>
      <c r="G61" s="225">
        <f>IF($C61&gt;=Wirtschaftlichkeit!$G$8,Wirtschaftlichkeit!$G$8,IF(AND($C61&lt;=Wirtschaftlichkeit!$G$8,$C61&gt;=Wirtschaftlichkeit!$G$8*Eingabemaske!$B$18),$C61,"0"))</f>
        <v>2.8333333333333335</v>
      </c>
      <c r="H61" s="64">
        <v>4088</v>
      </c>
      <c r="I61" s="66">
        <f t="shared" si="62"/>
        <v>206.83333333333334</v>
      </c>
      <c r="J61" s="64">
        <v>4088</v>
      </c>
      <c r="K61" s="71">
        <f t="shared" si="63"/>
        <v>2.8333333333333335</v>
      </c>
      <c r="L61" s="312">
        <v>4088</v>
      </c>
      <c r="M61" s="286">
        <f>G61*Wirtschaftlichkeit!$G$5/Wirtschaftlichkeit!$G$7</f>
        <v>1</v>
      </c>
      <c r="N61" s="284">
        <f t="shared" si="3"/>
        <v>73</v>
      </c>
      <c r="P61" s="222">
        <v>4088</v>
      </c>
      <c r="Q61" s="225">
        <f>IF($C61&gt;=Wirtschaftlichkeit!$H$8,Wirtschaftlichkeit!$H$8,IF(AND($C61&lt;=Wirtschaftlichkeit!$H$8,$C61&gt;=Wirtschaftlichkeit!$H$8*Eingabemaske!$B$18),$C61,"0"))</f>
        <v>5.5876288659793811</v>
      </c>
      <c r="R61" s="222">
        <v>4088</v>
      </c>
      <c r="S61" s="224">
        <f t="shared" si="4"/>
        <v>407.89690721649481</v>
      </c>
      <c r="T61" s="222">
        <v>4088</v>
      </c>
      <c r="U61" s="226">
        <f t="shared" si="5"/>
        <v>5.5876288659793811</v>
      </c>
      <c r="V61" s="312">
        <v>4088</v>
      </c>
      <c r="W61" s="286">
        <f>Q61*Wirtschaftlichkeit!$H$5/Wirtschaftlichkeit!$H$7</f>
        <v>2</v>
      </c>
      <c r="X61" s="284">
        <f t="shared" si="6"/>
        <v>146</v>
      </c>
      <c r="Z61" s="222">
        <v>4088</v>
      </c>
      <c r="AA61" s="225">
        <f>IF($C61&gt;=Wirtschaftlichkeit!$I$8,Wirtschaftlichkeit!$I$8,IF(AND($C61&lt;=Wirtschaftlichkeit!$I$8,$C61&gt;=Wirtschaftlichkeit!$I$8*Eingabemaske!$B$18),$C61,"0"))</f>
        <v>8.2471643149712612</v>
      </c>
      <c r="AB61" s="222">
        <v>4088</v>
      </c>
      <c r="AC61" s="224">
        <f t="shared" si="7"/>
        <v>602.04299499290209</v>
      </c>
      <c r="AD61" s="222">
        <v>4088</v>
      </c>
      <c r="AE61" s="226">
        <f t="shared" si="8"/>
        <v>8.2471643149712612</v>
      </c>
      <c r="AF61" s="312">
        <v>4088</v>
      </c>
      <c r="AG61" s="286">
        <f>AA61*Wirtschaftlichkeit!$I$5/Wirtschaftlichkeit!$I$7</f>
        <v>3.0000000000000004</v>
      </c>
      <c r="AH61" s="284">
        <f t="shared" si="9"/>
        <v>219.00000000000003</v>
      </c>
      <c r="AJ61" s="222">
        <v>4088</v>
      </c>
      <c r="AK61" s="225">
        <f>IF($C61&gt;=Wirtschaftlichkeit!$J$8,Wirtschaftlichkeit!$J$8,IF(AND($C61&lt;=Wirtschaftlichkeit!$J$8,$C61&gt;=Wirtschaftlichkeit!$J$8*Eingabemaske!$B$18),$C61,"0"))</f>
        <v>10.537455322965799</v>
      </c>
      <c r="AL61" s="222">
        <v>4088</v>
      </c>
      <c r="AM61" s="224">
        <f t="shared" si="10"/>
        <v>769.23423857650334</v>
      </c>
      <c r="AN61" s="222">
        <v>4088</v>
      </c>
      <c r="AO61" s="226">
        <f t="shared" si="11"/>
        <v>10.537455322965799</v>
      </c>
      <c r="AP61" s="312">
        <v>4088</v>
      </c>
      <c r="AQ61" s="286">
        <f>AK61*Wirtschaftlichkeit!$J$5/Wirtschaftlichkeit!$J$7</f>
        <v>4</v>
      </c>
      <c r="AR61" s="284">
        <f t="shared" si="12"/>
        <v>292</v>
      </c>
      <c r="AT61" s="222">
        <v>4088</v>
      </c>
      <c r="AU61" s="225">
        <f>IF($C61&gt;=Wirtschaftlichkeit!$K$8,Wirtschaftlichkeit!$K$8,IF(AND($C61&lt;=Wirtschaftlichkeit!$K$8,$C61&gt;=Wirtschaftlichkeit!$K$8*Eingabemaske!$B$18),$C61,"0"))</f>
        <v>11.91906</v>
      </c>
      <c r="AV61" s="222">
        <v>4088</v>
      </c>
      <c r="AW61" s="224">
        <f t="shared" si="13"/>
        <v>868.42917</v>
      </c>
      <c r="AX61" s="222">
        <v>4088</v>
      </c>
      <c r="AY61" s="226">
        <f t="shared" si="14"/>
        <v>11.91906</v>
      </c>
      <c r="AZ61" s="312">
        <v>4088</v>
      </c>
      <c r="BA61" s="286">
        <f>AU61*Wirtschaftlichkeit!$K$5/Wirtschaftlichkeit!$K$7</f>
        <v>4.678132387762715</v>
      </c>
      <c r="BB61" s="284">
        <f t="shared" si="15"/>
        <v>340.85126064093083</v>
      </c>
      <c r="BD61" s="222">
        <v>4088</v>
      </c>
      <c r="BE61" s="225">
        <f>IF($C61&gt;=Wirtschaftlichkeit!$L$8,Wirtschaftlichkeit!$L$8,IF(AND($C61&lt;=Wirtschaftlichkeit!$L$8,$C61&gt;=Wirtschaftlichkeit!$L$8*Eingabemaske!$B$18),$C61,"0"))</f>
        <v>11.91906</v>
      </c>
      <c r="BF61" s="222">
        <v>4088</v>
      </c>
      <c r="BG61" s="224">
        <f t="shared" si="16"/>
        <v>868.42917</v>
      </c>
      <c r="BH61" s="222">
        <v>4088</v>
      </c>
      <c r="BI61" s="226">
        <f t="shared" si="17"/>
        <v>11.91906</v>
      </c>
      <c r="BJ61" s="312">
        <v>4088</v>
      </c>
      <c r="BK61" s="286">
        <f>BE61*Wirtschaftlichkeit!$L$5/Wirtschaftlichkeit!$L$7</f>
        <v>4.8086931546499185</v>
      </c>
      <c r="BL61" s="284">
        <f t="shared" si="18"/>
        <v>350.36398886131207</v>
      </c>
      <c r="BN61" s="222">
        <v>4088</v>
      </c>
      <c r="BO61" s="225">
        <f>IF($C61&gt;=Wirtschaftlichkeit!$M$8,Wirtschaftlichkeit!$M$8,IF(AND($C61&lt;=Wirtschaftlichkeit!$M$8,$C61&gt;=Wirtschaftlichkeit!$M$8*Eingabemaske!$B$18),$C61,"0"))</f>
        <v>11.91906</v>
      </c>
      <c r="BP61" s="222">
        <v>4088</v>
      </c>
      <c r="BQ61" s="224">
        <f t="shared" si="19"/>
        <v>868.42917</v>
      </c>
      <c r="BR61" s="222">
        <v>4088</v>
      </c>
      <c r="BS61" s="226">
        <f t="shared" si="20"/>
        <v>11.91906</v>
      </c>
      <c r="BT61" s="312">
        <v>4088</v>
      </c>
      <c r="BU61" s="286">
        <f>BO61*Wirtschaftlichkeit!$M$5/Wirtschaftlichkeit!$M$7</f>
        <v>4.9227610556439707</v>
      </c>
      <c r="BV61" s="284">
        <f t="shared" si="21"/>
        <v>358.67503793597956</v>
      </c>
      <c r="BX61" s="222">
        <v>4088</v>
      </c>
      <c r="BY61" s="225">
        <f>IF($C61&gt;=Wirtschaftlichkeit!$N$8,Wirtschaftlichkeit!$N$8,IF(AND($C61&lt;=Wirtschaftlichkeit!$N$8,$C61&gt;=Wirtschaftlichkeit!$N$8*Eingabemaske!$B$18),$C61,"0"))</f>
        <v>11.91906</v>
      </c>
      <c r="BZ61" s="222">
        <v>4088</v>
      </c>
      <c r="CA61" s="224">
        <f t="shared" si="22"/>
        <v>868.42917</v>
      </c>
      <c r="CB61" s="222">
        <v>4088</v>
      </c>
      <c r="CC61" s="226">
        <f t="shared" si="23"/>
        <v>11.91906</v>
      </c>
      <c r="CD61" s="312">
        <v>4088</v>
      </c>
      <c r="CE61" s="286">
        <f>BY61*Wirtschaftlichkeit!$N$5/Wirtschaftlichkeit!$N$7</f>
        <v>5.0244120481008308</v>
      </c>
      <c r="CF61" s="284">
        <f t="shared" si="24"/>
        <v>366.08138432646575</v>
      </c>
      <c r="CH61" s="222">
        <v>4088</v>
      </c>
      <c r="CI61" s="225">
        <f>IF($C61&gt;=Wirtschaftlichkeit!$O$8,Wirtschaftlichkeit!$O$8,IF(AND($C61&lt;=Wirtschaftlichkeit!$O$8,$C61&gt;=Wirtschaftlichkeit!$O$8*Eingabemaske!$B$18),$C61,"0"))</f>
        <v>11.91906</v>
      </c>
      <c r="CJ61" s="222">
        <v>4088</v>
      </c>
      <c r="CK61" s="224">
        <f t="shared" si="25"/>
        <v>868.42917</v>
      </c>
      <c r="CL61" s="222">
        <v>4088</v>
      </c>
      <c r="CM61" s="226">
        <f t="shared" si="26"/>
        <v>11.91906</v>
      </c>
      <c r="CN61" s="312">
        <v>4088</v>
      </c>
      <c r="CO61" s="286">
        <f>CI61*Wirtschaftlichkeit!$O$5/Wirtschaftlichkeit!$O$7</f>
        <v>5.1163441834094794</v>
      </c>
      <c r="CP61" s="284">
        <f t="shared" si="27"/>
        <v>372.77960951892362</v>
      </c>
      <c r="CR61" s="222">
        <v>4088</v>
      </c>
      <c r="CS61" s="225">
        <f>IF($C61&gt;=Wirtschaftlichkeit!$P$8,Wirtschaftlichkeit!$P$8,IF(AND($C61&lt;=Wirtschaftlichkeit!$P$8,$C61&gt;=Wirtschaftlichkeit!$P$8*Eingabemaske!$B$18),$C61,"0"))</f>
        <v>11.91906</v>
      </c>
      <c r="CT61" s="222">
        <v>4088</v>
      </c>
      <c r="CU61" s="224">
        <f t="shared" si="28"/>
        <v>868.42917</v>
      </c>
      <c r="CV61" s="222">
        <v>4088</v>
      </c>
      <c r="CW61" s="226">
        <f t="shared" si="29"/>
        <v>11.91906</v>
      </c>
      <c r="CX61" s="312">
        <v>4088</v>
      </c>
      <c r="CY61" s="286">
        <f>CS61*Wirtschaftlichkeit!$P$5/Wirtschaftlichkeit!$P$7</f>
        <v>5.2004418138564104</v>
      </c>
      <c r="CZ61" s="284">
        <f t="shared" si="30"/>
        <v>378.90700844199267</v>
      </c>
      <c r="DB61" s="222">
        <v>4088</v>
      </c>
      <c r="DC61" s="225" t="str">
        <f>IF($C61&gt;=Wirtschaftlichkeit!$Q$8,Wirtschaftlichkeit!$Q$8,IF(AND($C61&lt;=Wirtschaftlichkeit!$Q$8,$C61&gt;=Wirtschaftlichkeit!$Q$8*Eingabemaske!$B$18),$C61,"0"))</f>
        <v>0</v>
      </c>
      <c r="DD61" s="222">
        <v>4088</v>
      </c>
      <c r="DE61" s="224">
        <f t="shared" si="31"/>
        <v>0</v>
      </c>
      <c r="DF61" s="222">
        <v>4088</v>
      </c>
      <c r="DG61" s="226" t="str">
        <f t="shared" si="32"/>
        <v xml:space="preserve"> </v>
      </c>
      <c r="DH61" s="312">
        <v>4088</v>
      </c>
      <c r="DI61" s="286">
        <f>DC61*Wirtschaftlichkeit!$Q$5/Wirtschaftlichkeit!$Q$7</f>
        <v>0</v>
      </c>
      <c r="DJ61" s="284">
        <f t="shared" si="33"/>
        <v>0</v>
      </c>
      <c r="DL61" s="222">
        <v>4088</v>
      </c>
      <c r="DM61" s="225" t="str">
        <f>IF($C61&gt;=Wirtschaftlichkeit!$R$8,Wirtschaftlichkeit!$R$8,IF(AND($C61&lt;=Wirtschaftlichkeit!$R$8,$C61&gt;=Wirtschaftlichkeit!$R$8*Eingabemaske!$B$18),$C61,"0"))</f>
        <v>0</v>
      </c>
      <c r="DN61" s="222">
        <v>4088</v>
      </c>
      <c r="DO61" s="224">
        <f t="shared" si="34"/>
        <v>0</v>
      </c>
      <c r="DP61" s="222">
        <v>4088</v>
      </c>
      <c r="DQ61" s="226" t="str">
        <f t="shared" si="35"/>
        <v xml:space="preserve"> </v>
      </c>
      <c r="DR61" s="312">
        <v>4088</v>
      </c>
      <c r="DS61" s="286">
        <f>DM61*Wirtschaftlichkeit!$R$5/Wirtschaftlichkeit!$R$7</f>
        <v>0</v>
      </c>
      <c r="DT61" s="284">
        <f t="shared" si="36"/>
        <v>0</v>
      </c>
      <c r="DV61" s="222">
        <v>4088</v>
      </c>
      <c r="DW61" s="225" t="str">
        <f>IF($C61&gt;=Wirtschaftlichkeit!$S$8,Wirtschaftlichkeit!$S$8,IF(AND($C61&lt;=Wirtschaftlichkeit!$S$8,$C61&gt;=Wirtschaftlichkeit!$S$8*Eingabemaske!$B$18),$C61,"0"))</f>
        <v>0</v>
      </c>
      <c r="DX61" s="222">
        <v>4088</v>
      </c>
      <c r="DY61" s="224">
        <f t="shared" si="37"/>
        <v>0</v>
      </c>
      <c r="DZ61" s="222">
        <v>4088</v>
      </c>
      <c r="EA61" s="226" t="str">
        <f t="shared" si="38"/>
        <v xml:space="preserve"> </v>
      </c>
      <c r="EB61" s="312">
        <v>4088</v>
      </c>
      <c r="EC61" s="286">
        <f>DW61*Wirtschaftlichkeit!$S$5/Wirtschaftlichkeit!$S$7</f>
        <v>0</v>
      </c>
      <c r="ED61" s="284">
        <f t="shared" si="39"/>
        <v>0</v>
      </c>
      <c r="EF61" s="222">
        <v>4088</v>
      </c>
      <c r="EG61" s="225" t="str">
        <f>IF($C61&gt;=Wirtschaftlichkeit!$T$8,Wirtschaftlichkeit!$T$8,IF(AND($C61&lt;=Wirtschaftlichkeit!$T$8,$C61&gt;=Wirtschaftlichkeit!$T$8*Eingabemaske!$B$18),$C61,"0"))</f>
        <v>0</v>
      </c>
      <c r="EH61" s="222">
        <v>4088</v>
      </c>
      <c r="EI61" s="224">
        <f t="shared" si="40"/>
        <v>0</v>
      </c>
      <c r="EJ61" s="222">
        <v>4088</v>
      </c>
      <c r="EK61" s="226" t="str">
        <f t="shared" si="41"/>
        <v xml:space="preserve"> </v>
      </c>
      <c r="EL61" s="312">
        <v>4088</v>
      </c>
      <c r="EM61" s="286">
        <f>EG61*Wirtschaftlichkeit!$T$5/Wirtschaftlichkeit!$T$7</f>
        <v>0</v>
      </c>
      <c r="EN61" s="284">
        <f t="shared" si="42"/>
        <v>0</v>
      </c>
      <c r="EP61" s="222">
        <v>4088</v>
      </c>
      <c r="EQ61" s="225" t="str">
        <f>IF($C61&gt;=Wirtschaftlichkeit!$U$8,Wirtschaftlichkeit!$U$8,IF(AND($C61&lt;=Wirtschaftlichkeit!$U$8,$C61&gt;=Wirtschaftlichkeit!$U$8*Eingabemaske!$B$18),$C61,"0"))</f>
        <v>0</v>
      </c>
      <c r="ER61" s="222">
        <v>4088</v>
      </c>
      <c r="ES61" s="224">
        <f t="shared" si="43"/>
        <v>0</v>
      </c>
      <c r="ET61" s="222">
        <v>4088</v>
      </c>
      <c r="EU61" s="226" t="str">
        <f t="shared" si="44"/>
        <v xml:space="preserve"> </v>
      </c>
      <c r="EV61" s="312">
        <v>4088</v>
      </c>
      <c r="EW61" s="286">
        <f>EQ61*Wirtschaftlichkeit!$U$5/Wirtschaftlichkeit!$U$7</f>
        <v>0</v>
      </c>
      <c r="EX61" s="284">
        <f t="shared" si="45"/>
        <v>0</v>
      </c>
      <c r="EZ61" s="222">
        <v>4088</v>
      </c>
      <c r="FA61" s="225" t="str">
        <f>IF($C61&gt;=Wirtschaftlichkeit!$V$8,Wirtschaftlichkeit!$V$8,IF(AND($C61&lt;=Wirtschaftlichkeit!$V$8,$C61&gt;=Wirtschaftlichkeit!$V$8*Eingabemaske!$B$18),$C61,"0"))</f>
        <v>0</v>
      </c>
      <c r="FB61" s="222">
        <v>4088</v>
      </c>
      <c r="FC61" s="224">
        <f t="shared" si="46"/>
        <v>0</v>
      </c>
      <c r="FD61" s="222">
        <v>4088</v>
      </c>
      <c r="FE61" s="226" t="str">
        <f t="shared" si="47"/>
        <v xml:space="preserve"> </v>
      </c>
      <c r="FF61" s="312">
        <v>4088</v>
      </c>
      <c r="FG61" s="286">
        <f>FA61*Wirtschaftlichkeit!$V$5/Wirtschaftlichkeit!$V$7</f>
        <v>0</v>
      </c>
      <c r="FH61" s="284">
        <f t="shared" si="48"/>
        <v>0</v>
      </c>
      <c r="FJ61" s="222">
        <v>4088</v>
      </c>
      <c r="FK61" s="225" t="str">
        <f>IF($C61&gt;=Wirtschaftlichkeit!$W$8,Wirtschaftlichkeit!$W$8,IF(AND($C61&lt;=Wirtschaftlichkeit!$W$8,$C61&gt;=Wirtschaftlichkeit!$W$8*Eingabemaske!$B$18),$C61,"0"))</f>
        <v>0</v>
      </c>
      <c r="FL61" s="222">
        <v>4088</v>
      </c>
      <c r="FM61" s="224">
        <f t="shared" si="49"/>
        <v>0</v>
      </c>
      <c r="FN61" s="222">
        <v>4088</v>
      </c>
      <c r="FO61" s="226" t="str">
        <f t="shared" si="50"/>
        <v xml:space="preserve"> </v>
      </c>
      <c r="FP61" s="312">
        <v>4088</v>
      </c>
      <c r="FQ61" s="286">
        <f>FK61*Wirtschaftlichkeit!$W$5/Wirtschaftlichkeit!$W$7</f>
        <v>0</v>
      </c>
      <c r="FR61" s="284">
        <f t="shared" si="51"/>
        <v>0</v>
      </c>
      <c r="FT61" s="222">
        <v>4088</v>
      </c>
      <c r="FU61" s="225" t="str">
        <f>IF($C61&gt;=Wirtschaftlichkeit!$X$8,Wirtschaftlichkeit!$X$8,IF(AND($C61&lt;=Wirtschaftlichkeit!$X$8,$C61&gt;=Wirtschaftlichkeit!$X$8*Eingabemaske!$B$18),$C61,"0"))</f>
        <v>0</v>
      </c>
      <c r="FV61" s="222">
        <v>4088</v>
      </c>
      <c r="FW61" s="224">
        <f t="shared" si="52"/>
        <v>0</v>
      </c>
      <c r="FX61" s="222">
        <v>4088</v>
      </c>
      <c r="FY61" s="226" t="str">
        <f t="shared" si="53"/>
        <v xml:space="preserve"> </v>
      </c>
      <c r="FZ61" s="312">
        <v>4088</v>
      </c>
      <c r="GA61" s="286">
        <f>FU61*Wirtschaftlichkeit!$X$5/Wirtschaftlichkeit!$X$7</f>
        <v>0</v>
      </c>
      <c r="GB61" s="284">
        <f t="shared" si="54"/>
        <v>0</v>
      </c>
      <c r="GD61" s="222">
        <v>4088</v>
      </c>
      <c r="GE61" s="225" t="str">
        <f>IF($C61&gt;=Wirtschaftlichkeit!$Y$8,Wirtschaftlichkeit!$Y$8,IF(AND($C61&lt;=Wirtschaftlichkeit!$Y$8,$C61&gt;=Wirtschaftlichkeit!$Y$8*Eingabemaske!$B$18),$C61,"0"))</f>
        <v>0</v>
      </c>
      <c r="GF61" s="222">
        <v>4088</v>
      </c>
      <c r="GG61" s="224">
        <f t="shared" si="55"/>
        <v>0</v>
      </c>
      <c r="GH61" s="222">
        <v>4088</v>
      </c>
      <c r="GI61" s="226" t="str">
        <f t="shared" si="56"/>
        <v xml:space="preserve"> </v>
      </c>
      <c r="GJ61" s="312">
        <v>4088</v>
      </c>
      <c r="GK61" s="286">
        <f>GE61*Wirtschaftlichkeit!$Y$5/Wirtschaftlichkeit!$Y$7</f>
        <v>0</v>
      </c>
      <c r="GL61" s="284">
        <f t="shared" si="57"/>
        <v>0</v>
      </c>
      <c r="GN61" s="222">
        <v>4088</v>
      </c>
      <c r="GO61" s="225" t="str">
        <f>IF($C61&gt;=Wirtschaftlichkeit!$Z$8,Wirtschaftlichkeit!$Z$8,IF(AND($C61&lt;=Wirtschaftlichkeit!$Z$8,$C61&gt;=Wirtschaftlichkeit!$Z$8*Eingabemaske!$B$18),$C61,"0"))</f>
        <v>0</v>
      </c>
      <c r="GP61" s="222">
        <v>4088</v>
      </c>
      <c r="GQ61" s="224">
        <f t="shared" si="58"/>
        <v>0</v>
      </c>
      <c r="GR61" s="222">
        <v>4088</v>
      </c>
      <c r="GS61" s="226" t="str">
        <f t="shared" si="59"/>
        <v xml:space="preserve"> </v>
      </c>
      <c r="GT61" s="312">
        <v>4088</v>
      </c>
      <c r="GU61" s="286">
        <f>GO61*Wirtschaftlichkeit!$Z$5/Wirtschaftlichkeit!$Z$7</f>
        <v>0</v>
      </c>
      <c r="GV61" s="284">
        <f t="shared" si="60"/>
        <v>0</v>
      </c>
      <c r="GW61" s="266"/>
      <c r="GX61" s="258">
        <v>4088</v>
      </c>
      <c r="GY61" s="270">
        <f>IF(Berechnung_Diagramme!$C$28=Berechnungen_Lastgang!$F$2,Berechnungen_Lastgang!G61,IF(Berechnung_Diagramme!$C$28=Berechnungen_Lastgang!$P$2,Berechnungen_Lastgang!Q61,IF(Berechnung_Diagramme!$C$28=Berechnungen_Lastgang!$Z$2,Berechnungen_Lastgang!AA61,IF(Berechnung_Diagramme!$C$28=Berechnungen_Lastgang!$AJ$2,Berechnungen_Lastgang!AK61,IF(Berechnung_Diagramme!$C$28=Berechnungen_Lastgang!$AT$2,Berechnungen_Lastgang!AU61,IF(Berechnung_Diagramme!$C$28=Berechnungen_Lastgang!$BD$2,Berechnungen_Lastgang!BE61,IF(Berechnung_Diagramme!$C$28=Berechnungen_Lastgang!$BN$2,Berechnungen_Lastgang!BO61,IF(Berechnung_Diagramme!$C$28=Berechnungen_Lastgang!$BX$2,Berechnungen_Lastgang!BY61,IF(Berechnung_Diagramme!$C$28=Berechnungen_Lastgang!$CH$2,Berechnungen_Lastgang!CI61,IF(Berechnung_Diagramme!$C$28=Berechnungen_Lastgang!$CR$2,Berechnungen_Lastgang!CS61,IF(Berechnung_Diagramme!$C$28=Berechnungen_Lastgang!$DB$2,Berechnungen_Lastgang!DC61,IF(Berechnung_Diagramme!$C$28=Berechnungen_Lastgang!$DL$2,Berechnungen_Lastgang!DM61,IF(Berechnung_Diagramme!$C$28=Berechnungen_Lastgang!$DV$2,Berechnungen_Lastgang!DW61,IF(Berechnung_Diagramme!$C$28=Berechnungen_Lastgang!$EF$2,Berechnungen_Lastgang!EG61,IF(Berechnung_Diagramme!$C$28=Berechnungen_Lastgang!$EP$2,Berechnungen_Lastgang!EQ61,IF(Berechnung_Diagramme!$C$28=Berechnungen_Lastgang!$EZ$2,Berechnungen_Lastgang!FA61,IF(Berechnung_Diagramme!$C$28=Berechnungen_Lastgang!$FJ$2,Berechnungen_Lastgang!FK61,IF(Berechnung_Diagramme!$C$28=Berechnungen_Lastgang!$FT$2,Berechnungen_Lastgang!FU61,IF(Berechnung_Diagramme!$C$28=Berechnungen_Lastgang!$GD$2,Berechnungen_Lastgang!GE61,IF(Berechnung_Diagramme!$C$28=Berechnungen_Lastgang!$GN$2,Berechnungen_Lastgang!GO61,""))))))))))))))))))))</f>
        <v>11.91906</v>
      </c>
    </row>
    <row r="62" spans="2:207" x14ac:dyDescent="0.25">
      <c r="B62" s="64">
        <v>4161</v>
      </c>
      <c r="C62" s="67">
        <f>C61+((C65-C61)/(B65-B61))*(B62-B61)</f>
        <v>11.873519999999999</v>
      </c>
      <c r="D62" s="66">
        <f t="shared" si="61"/>
        <v>865.10474999999997</v>
      </c>
      <c r="F62" s="64">
        <v>4161</v>
      </c>
      <c r="G62" s="225">
        <f>IF($C62&gt;=Wirtschaftlichkeit!$G$8,Wirtschaftlichkeit!$G$8,IF(AND($C62&lt;=Wirtschaftlichkeit!$G$8,$C62&gt;=Wirtschaftlichkeit!$G$8*Eingabemaske!$B$18),$C62,"0"))</f>
        <v>2.8333333333333335</v>
      </c>
      <c r="H62" s="64">
        <v>4161</v>
      </c>
      <c r="I62" s="66">
        <f t="shared" si="62"/>
        <v>206.83333333333334</v>
      </c>
      <c r="J62" s="64">
        <v>4161</v>
      </c>
      <c r="K62" s="71">
        <f t="shared" si="63"/>
        <v>2.8333333333333335</v>
      </c>
      <c r="L62" s="312">
        <v>4161</v>
      </c>
      <c r="M62" s="286">
        <f>G62*Wirtschaftlichkeit!$G$5/Wirtschaftlichkeit!$G$7</f>
        <v>1</v>
      </c>
      <c r="N62" s="284">
        <f t="shared" si="3"/>
        <v>73</v>
      </c>
      <c r="P62" s="222">
        <v>4161</v>
      </c>
      <c r="Q62" s="225">
        <f>IF($C62&gt;=Wirtschaftlichkeit!$H$8,Wirtschaftlichkeit!$H$8,IF(AND($C62&lt;=Wirtschaftlichkeit!$H$8,$C62&gt;=Wirtschaftlichkeit!$H$8*Eingabemaske!$B$18),$C62,"0"))</f>
        <v>5.5876288659793811</v>
      </c>
      <c r="R62" s="222">
        <v>4161</v>
      </c>
      <c r="S62" s="224">
        <f t="shared" si="4"/>
        <v>407.89690721649481</v>
      </c>
      <c r="T62" s="222">
        <v>4161</v>
      </c>
      <c r="U62" s="226">
        <f t="shared" si="5"/>
        <v>5.5876288659793811</v>
      </c>
      <c r="V62" s="312">
        <v>4161</v>
      </c>
      <c r="W62" s="286">
        <f>Q62*Wirtschaftlichkeit!$H$5/Wirtschaftlichkeit!$H$7</f>
        <v>2</v>
      </c>
      <c r="X62" s="284">
        <f t="shared" si="6"/>
        <v>146</v>
      </c>
      <c r="Z62" s="222">
        <v>4161</v>
      </c>
      <c r="AA62" s="225">
        <f>IF($C62&gt;=Wirtschaftlichkeit!$I$8,Wirtschaftlichkeit!$I$8,IF(AND($C62&lt;=Wirtschaftlichkeit!$I$8,$C62&gt;=Wirtschaftlichkeit!$I$8*Eingabemaske!$B$18),$C62,"0"))</f>
        <v>8.2471643149712612</v>
      </c>
      <c r="AB62" s="222">
        <v>4161</v>
      </c>
      <c r="AC62" s="224">
        <f t="shared" si="7"/>
        <v>602.04299499290209</v>
      </c>
      <c r="AD62" s="222">
        <v>4161</v>
      </c>
      <c r="AE62" s="226">
        <f t="shared" si="8"/>
        <v>8.2471643149712612</v>
      </c>
      <c r="AF62" s="312">
        <v>4161</v>
      </c>
      <c r="AG62" s="286">
        <f>AA62*Wirtschaftlichkeit!$I$5/Wirtschaftlichkeit!$I$7</f>
        <v>3.0000000000000004</v>
      </c>
      <c r="AH62" s="284">
        <f t="shared" si="9"/>
        <v>219.00000000000003</v>
      </c>
      <c r="AJ62" s="222">
        <v>4161</v>
      </c>
      <c r="AK62" s="225">
        <f>IF($C62&gt;=Wirtschaftlichkeit!$J$8,Wirtschaftlichkeit!$J$8,IF(AND($C62&lt;=Wirtschaftlichkeit!$J$8,$C62&gt;=Wirtschaftlichkeit!$J$8*Eingabemaske!$B$18),$C62,"0"))</f>
        <v>10.537455322965799</v>
      </c>
      <c r="AL62" s="222">
        <v>4161</v>
      </c>
      <c r="AM62" s="224">
        <f t="shared" si="10"/>
        <v>769.23423857650334</v>
      </c>
      <c r="AN62" s="222">
        <v>4161</v>
      </c>
      <c r="AO62" s="226">
        <f t="shared" si="11"/>
        <v>10.537455322965799</v>
      </c>
      <c r="AP62" s="312">
        <v>4161</v>
      </c>
      <c r="AQ62" s="286">
        <f>AK62*Wirtschaftlichkeit!$J$5/Wirtschaftlichkeit!$J$7</f>
        <v>4</v>
      </c>
      <c r="AR62" s="284">
        <f t="shared" si="12"/>
        <v>292</v>
      </c>
      <c r="AT62" s="222">
        <v>4161</v>
      </c>
      <c r="AU62" s="225">
        <f>IF($C62&gt;=Wirtschaftlichkeit!$K$8,Wirtschaftlichkeit!$K$8,IF(AND($C62&lt;=Wirtschaftlichkeit!$K$8,$C62&gt;=Wirtschaftlichkeit!$K$8*Eingabemaske!$B$18),$C62,"0"))</f>
        <v>11.873519999999999</v>
      </c>
      <c r="AV62" s="222">
        <v>4161</v>
      </c>
      <c r="AW62" s="224">
        <f t="shared" si="13"/>
        <v>865.10474999999997</v>
      </c>
      <c r="AX62" s="222">
        <v>4161</v>
      </c>
      <c r="AY62" s="226">
        <f t="shared" si="14"/>
        <v>11.873519999999999</v>
      </c>
      <c r="AZ62" s="312">
        <v>4161</v>
      </c>
      <c r="BA62" s="286">
        <f>AU62*Wirtschaftlichkeit!$K$5/Wirtschaftlichkeit!$K$7</f>
        <v>4.6602583147285399</v>
      </c>
      <c r="BB62" s="284">
        <f t="shared" si="15"/>
        <v>339.54645330943606</v>
      </c>
      <c r="BD62" s="222">
        <v>4161</v>
      </c>
      <c r="BE62" s="225">
        <f>IF($C62&gt;=Wirtschaftlichkeit!$L$8,Wirtschaftlichkeit!$L$8,IF(AND($C62&lt;=Wirtschaftlichkeit!$L$8,$C62&gt;=Wirtschaftlichkeit!$L$8*Eingabemaske!$B$18),$C62,"0"))</f>
        <v>11.873519999999999</v>
      </c>
      <c r="BF62" s="222">
        <v>4161</v>
      </c>
      <c r="BG62" s="224">
        <f t="shared" si="16"/>
        <v>865.10474999999997</v>
      </c>
      <c r="BH62" s="222">
        <v>4161</v>
      </c>
      <c r="BI62" s="226">
        <f t="shared" si="17"/>
        <v>11.873519999999999</v>
      </c>
      <c r="BJ62" s="312">
        <v>4161</v>
      </c>
      <c r="BK62" s="286">
        <f>BE62*Wirtschaftlichkeit!$L$5/Wirtschaftlichkeit!$L$7</f>
        <v>4.7903202388106854</v>
      </c>
      <c r="BL62" s="284">
        <f t="shared" si="18"/>
        <v>349.02276600504808</v>
      </c>
      <c r="BN62" s="222">
        <v>4161</v>
      </c>
      <c r="BO62" s="225">
        <f>IF($C62&gt;=Wirtschaftlichkeit!$M$8,Wirtschaftlichkeit!$M$8,IF(AND($C62&lt;=Wirtschaftlichkeit!$M$8,$C62&gt;=Wirtschaftlichkeit!$M$8*Eingabemaske!$B$18),$C62,"0"))</f>
        <v>11.873519999999999</v>
      </c>
      <c r="BP62" s="222">
        <v>4161</v>
      </c>
      <c r="BQ62" s="224">
        <f t="shared" si="19"/>
        <v>865.10474999999997</v>
      </c>
      <c r="BR62" s="222">
        <v>4161</v>
      </c>
      <c r="BS62" s="226">
        <f t="shared" si="20"/>
        <v>11.873519999999999</v>
      </c>
      <c r="BT62" s="312">
        <v>4161</v>
      </c>
      <c r="BU62" s="286">
        <f>BO62*Wirtschaftlichkeit!$M$5/Wirtschaftlichkeit!$M$7</f>
        <v>4.9039523124650595</v>
      </c>
      <c r="BV62" s="284">
        <f t="shared" si="21"/>
        <v>357.30199968391912</v>
      </c>
      <c r="BX62" s="222">
        <v>4161</v>
      </c>
      <c r="BY62" s="225">
        <f>IF($C62&gt;=Wirtschaftlichkeit!$N$8,Wirtschaftlichkeit!$N$8,IF(AND($C62&lt;=Wirtschaftlichkeit!$N$8,$C62&gt;=Wirtschaftlichkeit!$N$8*Eingabemaske!$B$18),$C62,"0"))</f>
        <v>11.873519999999999</v>
      </c>
      <c r="BZ62" s="222">
        <v>4161</v>
      </c>
      <c r="CA62" s="224">
        <f t="shared" si="22"/>
        <v>865.10474999999997</v>
      </c>
      <c r="CB62" s="222">
        <v>4161</v>
      </c>
      <c r="CC62" s="226">
        <f t="shared" si="23"/>
        <v>11.873519999999999</v>
      </c>
      <c r="CD62" s="312">
        <v>4161</v>
      </c>
      <c r="CE62" s="286">
        <f>BY62*Wirtschaftlichkeit!$N$5/Wirtschaftlichkeit!$N$7</f>
        <v>5.0052149197475453</v>
      </c>
      <c r="CF62" s="284">
        <f t="shared" si="24"/>
        <v>364.6799939566759</v>
      </c>
      <c r="CH62" s="222">
        <v>4161</v>
      </c>
      <c r="CI62" s="225">
        <f>IF($C62&gt;=Wirtschaftlichkeit!$O$8,Wirtschaftlichkeit!$O$8,IF(AND($C62&lt;=Wirtschaftlichkeit!$O$8,$C62&gt;=Wirtschaftlichkeit!$O$8*Eingabemaske!$B$18),$C62,"0"))</f>
        <v>11.873519999999999</v>
      </c>
      <c r="CJ62" s="222">
        <v>4161</v>
      </c>
      <c r="CK62" s="224">
        <f t="shared" si="25"/>
        <v>865.10474999999997</v>
      </c>
      <c r="CL62" s="222">
        <v>4161</v>
      </c>
      <c r="CM62" s="226">
        <f t="shared" si="26"/>
        <v>11.873519999999999</v>
      </c>
      <c r="CN62" s="312">
        <v>4161</v>
      </c>
      <c r="CO62" s="286">
        <f>CI62*Wirtschaftlichkeit!$O$5/Wirtschaftlichkeit!$O$7</f>
        <v>5.0967958034103455</v>
      </c>
      <c r="CP62" s="284">
        <f t="shared" si="27"/>
        <v>371.35257777898693</v>
      </c>
      <c r="CR62" s="222">
        <v>4161</v>
      </c>
      <c r="CS62" s="225">
        <f>IF($C62&gt;=Wirtschaftlichkeit!$P$8,Wirtschaftlichkeit!$P$8,IF(AND($C62&lt;=Wirtschaftlichkeit!$P$8,$C62&gt;=Wirtschaftlichkeit!$P$8*Eingabemaske!$B$18),$C62,"0"))</f>
        <v>11.873519999999999</v>
      </c>
      <c r="CT62" s="222">
        <v>4161</v>
      </c>
      <c r="CU62" s="224">
        <f t="shared" si="28"/>
        <v>865.10474999999997</v>
      </c>
      <c r="CV62" s="222">
        <v>4161</v>
      </c>
      <c r="CW62" s="226">
        <f t="shared" si="29"/>
        <v>11.873519999999999</v>
      </c>
      <c r="CX62" s="312">
        <v>4161</v>
      </c>
      <c r="CY62" s="286">
        <f>CS62*Wirtschaftlichkeit!$P$5/Wirtschaftlichkeit!$P$7</f>
        <v>5.1805721160611959</v>
      </c>
      <c r="CZ62" s="284">
        <f t="shared" si="30"/>
        <v>377.456520502942</v>
      </c>
      <c r="DB62" s="222">
        <v>4161</v>
      </c>
      <c r="DC62" s="225" t="str">
        <f>IF($C62&gt;=Wirtschaftlichkeit!$Q$8,Wirtschaftlichkeit!$Q$8,IF(AND($C62&lt;=Wirtschaftlichkeit!$Q$8,$C62&gt;=Wirtschaftlichkeit!$Q$8*Eingabemaske!$B$18),$C62,"0"))</f>
        <v>0</v>
      </c>
      <c r="DD62" s="222">
        <v>4161</v>
      </c>
      <c r="DE62" s="224">
        <f t="shared" si="31"/>
        <v>0</v>
      </c>
      <c r="DF62" s="222">
        <v>4161</v>
      </c>
      <c r="DG62" s="226" t="str">
        <f t="shared" si="32"/>
        <v xml:space="preserve"> </v>
      </c>
      <c r="DH62" s="312">
        <v>4161</v>
      </c>
      <c r="DI62" s="286">
        <f>DC62*Wirtschaftlichkeit!$Q$5/Wirtschaftlichkeit!$Q$7</f>
        <v>0</v>
      </c>
      <c r="DJ62" s="284">
        <f t="shared" si="33"/>
        <v>0</v>
      </c>
      <c r="DL62" s="222">
        <v>4161</v>
      </c>
      <c r="DM62" s="225" t="str">
        <f>IF($C62&gt;=Wirtschaftlichkeit!$R$8,Wirtschaftlichkeit!$R$8,IF(AND($C62&lt;=Wirtschaftlichkeit!$R$8,$C62&gt;=Wirtschaftlichkeit!$R$8*Eingabemaske!$B$18),$C62,"0"))</f>
        <v>0</v>
      </c>
      <c r="DN62" s="222">
        <v>4161</v>
      </c>
      <c r="DO62" s="224">
        <f t="shared" si="34"/>
        <v>0</v>
      </c>
      <c r="DP62" s="222">
        <v>4161</v>
      </c>
      <c r="DQ62" s="226" t="str">
        <f t="shared" si="35"/>
        <v xml:space="preserve"> </v>
      </c>
      <c r="DR62" s="312">
        <v>4161</v>
      </c>
      <c r="DS62" s="286">
        <f>DM62*Wirtschaftlichkeit!$R$5/Wirtschaftlichkeit!$R$7</f>
        <v>0</v>
      </c>
      <c r="DT62" s="284">
        <f t="shared" si="36"/>
        <v>0</v>
      </c>
      <c r="DV62" s="222">
        <v>4161</v>
      </c>
      <c r="DW62" s="225" t="str">
        <f>IF($C62&gt;=Wirtschaftlichkeit!$S$8,Wirtschaftlichkeit!$S$8,IF(AND($C62&lt;=Wirtschaftlichkeit!$S$8,$C62&gt;=Wirtschaftlichkeit!$S$8*Eingabemaske!$B$18),$C62,"0"))</f>
        <v>0</v>
      </c>
      <c r="DX62" s="222">
        <v>4161</v>
      </c>
      <c r="DY62" s="224">
        <f t="shared" si="37"/>
        <v>0</v>
      </c>
      <c r="DZ62" s="222">
        <v>4161</v>
      </c>
      <c r="EA62" s="226" t="str">
        <f t="shared" si="38"/>
        <v xml:space="preserve"> </v>
      </c>
      <c r="EB62" s="312">
        <v>4161</v>
      </c>
      <c r="EC62" s="286">
        <f>DW62*Wirtschaftlichkeit!$S$5/Wirtschaftlichkeit!$S$7</f>
        <v>0</v>
      </c>
      <c r="ED62" s="284">
        <f t="shared" si="39"/>
        <v>0</v>
      </c>
      <c r="EF62" s="222">
        <v>4161</v>
      </c>
      <c r="EG62" s="225" t="str">
        <f>IF($C62&gt;=Wirtschaftlichkeit!$T$8,Wirtschaftlichkeit!$T$8,IF(AND($C62&lt;=Wirtschaftlichkeit!$T$8,$C62&gt;=Wirtschaftlichkeit!$T$8*Eingabemaske!$B$18),$C62,"0"))</f>
        <v>0</v>
      </c>
      <c r="EH62" s="222">
        <v>4161</v>
      </c>
      <c r="EI62" s="224">
        <f t="shared" si="40"/>
        <v>0</v>
      </c>
      <c r="EJ62" s="222">
        <v>4161</v>
      </c>
      <c r="EK62" s="226" t="str">
        <f t="shared" si="41"/>
        <v xml:space="preserve"> </v>
      </c>
      <c r="EL62" s="312">
        <v>4161</v>
      </c>
      <c r="EM62" s="286">
        <f>EG62*Wirtschaftlichkeit!$T$5/Wirtschaftlichkeit!$T$7</f>
        <v>0</v>
      </c>
      <c r="EN62" s="284">
        <f t="shared" si="42"/>
        <v>0</v>
      </c>
      <c r="EP62" s="222">
        <v>4161</v>
      </c>
      <c r="EQ62" s="225" t="str">
        <f>IF($C62&gt;=Wirtschaftlichkeit!$U$8,Wirtschaftlichkeit!$U$8,IF(AND($C62&lt;=Wirtschaftlichkeit!$U$8,$C62&gt;=Wirtschaftlichkeit!$U$8*Eingabemaske!$B$18),$C62,"0"))</f>
        <v>0</v>
      </c>
      <c r="ER62" s="222">
        <v>4161</v>
      </c>
      <c r="ES62" s="224">
        <f t="shared" si="43"/>
        <v>0</v>
      </c>
      <c r="ET62" s="222">
        <v>4161</v>
      </c>
      <c r="EU62" s="226" t="str">
        <f t="shared" si="44"/>
        <v xml:space="preserve"> </v>
      </c>
      <c r="EV62" s="312">
        <v>4161</v>
      </c>
      <c r="EW62" s="286">
        <f>EQ62*Wirtschaftlichkeit!$U$5/Wirtschaftlichkeit!$U$7</f>
        <v>0</v>
      </c>
      <c r="EX62" s="284">
        <f t="shared" si="45"/>
        <v>0</v>
      </c>
      <c r="EZ62" s="222">
        <v>4161</v>
      </c>
      <c r="FA62" s="225" t="str">
        <f>IF($C62&gt;=Wirtschaftlichkeit!$V$8,Wirtschaftlichkeit!$V$8,IF(AND($C62&lt;=Wirtschaftlichkeit!$V$8,$C62&gt;=Wirtschaftlichkeit!$V$8*Eingabemaske!$B$18),$C62,"0"))</f>
        <v>0</v>
      </c>
      <c r="FB62" s="222">
        <v>4161</v>
      </c>
      <c r="FC62" s="224">
        <f t="shared" si="46"/>
        <v>0</v>
      </c>
      <c r="FD62" s="222">
        <v>4161</v>
      </c>
      <c r="FE62" s="226" t="str">
        <f t="shared" si="47"/>
        <v xml:space="preserve"> </v>
      </c>
      <c r="FF62" s="312">
        <v>4161</v>
      </c>
      <c r="FG62" s="286">
        <f>FA62*Wirtschaftlichkeit!$V$5/Wirtschaftlichkeit!$V$7</f>
        <v>0</v>
      </c>
      <c r="FH62" s="284">
        <f t="shared" si="48"/>
        <v>0</v>
      </c>
      <c r="FJ62" s="222">
        <v>4161</v>
      </c>
      <c r="FK62" s="225" t="str">
        <f>IF($C62&gt;=Wirtschaftlichkeit!$W$8,Wirtschaftlichkeit!$W$8,IF(AND($C62&lt;=Wirtschaftlichkeit!$W$8,$C62&gt;=Wirtschaftlichkeit!$W$8*Eingabemaske!$B$18),$C62,"0"))</f>
        <v>0</v>
      </c>
      <c r="FL62" s="222">
        <v>4161</v>
      </c>
      <c r="FM62" s="224">
        <f t="shared" si="49"/>
        <v>0</v>
      </c>
      <c r="FN62" s="222">
        <v>4161</v>
      </c>
      <c r="FO62" s="226" t="str">
        <f t="shared" si="50"/>
        <v xml:space="preserve"> </v>
      </c>
      <c r="FP62" s="312">
        <v>4161</v>
      </c>
      <c r="FQ62" s="286">
        <f>FK62*Wirtschaftlichkeit!$W$5/Wirtschaftlichkeit!$W$7</f>
        <v>0</v>
      </c>
      <c r="FR62" s="284">
        <f t="shared" si="51"/>
        <v>0</v>
      </c>
      <c r="FT62" s="222">
        <v>4161</v>
      </c>
      <c r="FU62" s="225" t="str">
        <f>IF($C62&gt;=Wirtschaftlichkeit!$X$8,Wirtschaftlichkeit!$X$8,IF(AND($C62&lt;=Wirtschaftlichkeit!$X$8,$C62&gt;=Wirtschaftlichkeit!$X$8*Eingabemaske!$B$18),$C62,"0"))</f>
        <v>0</v>
      </c>
      <c r="FV62" s="222">
        <v>4161</v>
      </c>
      <c r="FW62" s="224">
        <f t="shared" si="52"/>
        <v>0</v>
      </c>
      <c r="FX62" s="222">
        <v>4161</v>
      </c>
      <c r="FY62" s="226" t="str">
        <f t="shared" si="53"/>
        <v xml:space="preserve"> </v>
      </c>
      <c r="FZ62" s="312">
        <v>4161</v>
      </c>
      <c r="GA62" s="286">
        <f>FU62*Wirtschaftlichkeit!$X$5/Wirtschaftlichkeit!$X$7</f>
        <v>0</v>
      </c>
      <c r="GB62" s="284">
        <f t="shared" si="54"/>
        <v>0</v>
      </c>
      <c r="GD62" s="222">
        <v>4161</v>
      </c>
      <c r="GE62" s="225" t="str">
        <f>IF($C62&gt;=Wirtschaftlichkeit!$Y$8,Wirtschaftlichkeit!$Y$8,IF(AND($C62&lt;=Wirtschaftlichkeit!$Y$8,$C62&gt;=Wirtschaftlichkeit!$Y$8*Eingabemaske!$B$18),$C62,"0"))</f>
        <v>0</v>
      </c>
      <c r="GF62" s="222">
        <v>4161</v>
      </c>
      <c r="GG62" s="224">
        <f t="shared" si="55"/>
        <v>0</v>
      </c>
      <c r="GH62" s="222">
        <v>4161</v>
      </c>
      <c r="GI62" s="226" t="str">
        <f t="shared" si="56"/>
        <v xml:space="preserve"> </v>
      </c>
      <c r="GJ62" s="312">
        <v>4161</v>
      </c>
      <c r="GK62" s="286">
        <f>GE62*Wirtschaftlichkeit!$Y$5/Wirtschaftlichkeit!$Y$7</f>
        <v>0</v>
      </c>
      <c r="GL62" s="284">
        <f t="shared" si="57"/>
        <v>0</v>
      </c>
      <c r="GN62" s="222">
        <v>4161</v>
      </c>
      <c r="GO62" s="225" t="str">
        <f>IF($C62&gt;=Wirtschaftlichkeit!$Z$8,Wirtschaftlichkeit!$Z$8,IF(AND($C62&lt;=Wirtschaftlichkeit!$Z$8,$C62&gt;=Wirtschaftlichkeit!$Z$8*Eingabemaske!$B$18),$C62,"0"))</f>
        <v>0</v>
      </c>
      <c r="GP62" s="222">
        <v>4161</v>
      </c>
      <c r="GQ62" s="224">
        <f t="shared" si="58"/>
        <v>0</v>
      </c>
      <c r="GR62" s="222">
        <v>4161</v>
      </c>
      <c r="GS62" s="226" t="str">
        <f t="shared" si="59"/>
        <v xml:space="preserve"> </v>
      </c>
      <c r="GT62" s="312">
        <v>4161</v>
      </c>
      <c r="GU62" s="286">
        <f>GO62*Wirtschaftlichkeit!$Z$5/Wirtschaftlichkeit!$Z$7</f>
        <v>0</v>
      </c>
      <c r="GV62" s="284">
        <f t="shared" si="60"/>
        <v>0</v>
      </c>
      <c r="GW62" s="266"/>
      <c r="GX62" s="258">
        <v>4161</v>
      </c>
      <c r="GY62" s="270">
        <f>IF(Berechnung_Diagramme!$C$28=Berechnungen_Lastgang!$F$2,Berechnungen_Lastgang!G62,IF(Berechnung_Diagramme!$C$28=Berechnungen_Lastgang!$P$2,Berechnungen_Lastgang!Q62,IF(Berechnung_Diagramme!$C$28=Berechnungen_Lastgang!$Z$2,Berechnungen_Lastgang!AA62,IF(Berechnung_Diagramme!$C$28=Berechnungen_Lastgang!$AJ$2,Berechnungen_Lastgang!AK62,IF(Berechnung_Diagramme!$C$28=Berechnungen_Lastgang!$AT$2,Berechnungen_Lastgang!AU62,IF(Berechnung_Diagramme!$C$28=Berechnungen_Lastgang!$BD$2,Berechnungen_Lastgang!BE62,IF(Berechnung_Diagramme!$C$28=Berechnungen_Lastgang!$BN$2,Berechnungen_Lastgang!BO62,IF(Berechnung_Diagramme!$C$28=Berechnungen_Lastgang!$BX$2,Berechnungen_Lastgang!BY62,IF(Berechnung_Diagramme!$C$28=Berechnungen_Lastgang!$CH$2,Berechnungen_Lastgang!CI62,IF(Berechnung_Diagramme!$C$28=Berechnungen_Lastgang!$CR$2,Berechnungen_Lastgang!CS62,IF(Berechnung_Diagramme!$C$28=Berechnungen_Lastgang!$DB$2,Berechnungen_Lastgang!DC62,IF(Berechnung_Diagramme!$C$28=Berechnungen_Lastgang!$DL$2,Berechnungen_Lastgang!DM62,IF(Berechnung_Diagramme!$C$28=Berechnungen_Lastgang!$DV$2,Berechnungen_Lastgang!DW62,IF(Berechnung_Diagramme!$C$28=Berechnungen_Lastgang!$EF$2,Berechnungen_Lastgang!EG62,IF(Berechnung_Diagramme!$C$28=Berechnungen_Lastgang!$EP$2,Berechnungen_Lastgang!EQ62,IF(Berechnung_Diagramme!$C$28=Berechnungen_Lastgang!$EZ$2,Berechnungen_Lastgang!FA62,IF(Berechnung_Diagramme!$C$28=Berechnungen_Lastgang!$FJ$2,Berechnungen_Lastgang!FK62,IF(Berechnung_Diagramme!$C$28=Berechnungen_Lastgang!$FT$2,Berechnungen_Lastgang!FU62,IF(Berechnung_Diagramme!$C$28=Berechnungen_Lastgang!$GD$2,Berechnungen_Lastgang!GE62,IF(Berechnung_Diagramme!$C$28=Berechnungen_Lastgang!$GN$2,Berechnungen_Lastgang!GO62,""))))))))))))))))))))</f>
        <v>11.873519999999999</v>
      </c>
    </row>
    <row r="63" spans="2:207" x14ac:dyDescent="0.25">
      <c r="B63" s="64">
        <v>4234</v>
      </c>
      <c r="C63" s="67">
        <f>C62+((C65-C62)/(B65-B62))*(B63-B62)</f>
        <v>11.82798</v>
      </c>
      <c r="D63" s="66">
        <f t="shared" si="61"/>
        <v>861.78033000000005</v>
      </c>
      <c r="F63" s="64">
        <v>4234</v>
      </c>
      <c r="G63" s="225">
        <f>IF($C63&gt;=Wirtschaftlichkeit!$G$8,Wirtschaftlichkeit!$G$8,IF(AND($C63&lt;=Wirtschaftlichkeit!$G$8,$C63&gt;=Wirtschaftlichkeit!$G$8*Eingabemaske!$B$18),$C63,"0"))</f>
        <v>2.8333333333333335</v>
      </c>
      <c r="H63" s="64">
        <v>4234</v>
      </c>
      <c r="I63" s="66">
        <f t="shared" si="62"/>
        <v>206.83333333333334</v>
      </c>
      <c r="J63" s="64">
        <v>4234</v>
      </c>
      <c r="K63" s="71">
        <f t="shared" si="63"/>
        <v>2.8333333333333335</v>
      </c>
      <c r="L63" s="312">
        <v>4234</v>
      </c>
      <c r="M63" s="286">
        <f>G63*Wirtschaftlichkeit!$G$5/Wirtschaftlichkeit!$G$7</f>
        <v>1</v>
      </c>
      <c r="N63" s="284">
        <f t="shared" si="3"/>
        <v>73</v>
      </c>
      <c r="P63" s="222">
        <v>4234</v>
      </c>
      <c r="Q63" s="225">
        <f>IF($C63&gt;=Wirtschaftlichkeit!$H$8,Wirtschaftlichkeit!$H$8,IF(AND($C63&lt;=Wirtschaftlichkeit!$H$8,$C63&gt;=Wirtschaftlichkeit!$H$8*Eingabemaske!$B$18),$C63,"0"))</f>
        <v>5.5876288659793811</v>
      </c>
      <c r="R63" s="222">
        <v>4234</v>
      </c>
      <c r="S63" s="224">
        <f t="shared" si="4"/>
        <v>407.89690721649481</v>
      </c>
      <c r="T63" s="222">
        <v>4234</v>
      </c>
      <c r="U63" s="226">
        <f t="shared" si="5"/>
        <v>5.5876288659793811</v>
      </c>
      <c r="V63" s="312">
        <v>4234</v>
      </c>
      <c r="W63" s="286">
        <f>Q63*Wirtschaftlichkeit!$H$5/Wirtschaftlichkeit!$H$7</f>
        <v>2</v>
      </c>
      <c r="X63" s="284">
        <f t="shared" si="6"/>
        <v>146</v>
      </c>
      <c r="Z63" s="222">
        <v>4234</v>
      </c>
      <c r="AA63" s="225">
        <f>IF($C63&gt;=Wirtschaftlichkeit!$I$8,Wirtschaftlichkeit!$I$8,IF(AND($C63&lt;=Wirtschaftlichkeit!$I$8,$C63&gt;=Wirtschaftlichkeit!$I$8*Eingabemaske!$B$18),$C63,"0"))</f>
        <v>8.2471643149712612</v>
      </c>
      <c r="AB63" s="222">
        <v>4234</v>
      </c>
      <c r="AC63" s="224">
        <f t="shared" si="7"/>
        <v>602.04299499290209</v>
      </c>
      <c r="AD63" s="222">
        <v>4234</v>
      </c>
      <c r="AE63" s="226">
        <f t="shared" si="8"/>
        <v>8.2471643149712612</v>
      </c>
      <c r="AF63" s="312">
        <v>4234</v>
      </c>
      <c r="AG63" s="286">
        <f>AA63*Wirtschaftlichkeit!$I$5/Wirtschaftlichkeit!$I$7</f>
        <v>3.0000000000000004</v>
      </c>
      <c r="AH63" s="284">
        <f t="shared" si="9"/>
        <v>219.00000000000003</v>
      </c>
      <c r="AJ63" s="222">
        <v>4234</v>
      </c>
      <c r="AK63" s="225">
        <f>IF($C63&gt;=Wirtschaftlichkeit!$J$8,Wirtschaftlichkeit!$J$8,IF(AND($C63&lt;=Wirtschaftlichkeit!$J$8,$C63&gt;=Wirtschaftlichkeit!$J$8*Eingabemaske!$B$18),$C63,"0"))</f>
        <v>10.537455322965799</v>
      </c>
      <c r="AL63" s="222">
        <v>4234</v>
      </c>
      <c r="AM63" s="224">
        <f t="shared" si="10"/>
        <v>769.23423857650334</v>
      </c>
      <c r="AN63" s="222">
        <v>4234</v>
      </c>
      <c r="AO63" s="226">
        <f t="shared" si="11"/>
        <v>10.537455322965799</v>
      </c>
      <c r="AP63" s="312">
        <v>4234</v>
      </c>
      <c r="AQ63" s="286">
        <f>AK63*Wirtschaftlichkeit!$J$5/Wirtschaftlichkeit!$J$7</f>
        <v>4</v>
      </c>
      <c r="AR63" s="284">
        <f t="shared" si="12"/>
        <v>292</v>
      </c>
      <c r="AT63" s="222">
        <v>4234</v>
      </c>
      <c r="AU63" s="225">
        <f>IF($C63&gt;=Wirtschaftlichkeit!$K$8,Wirtschaftlichkeit!$K$8,IF(AND($C63&lt;=Wirtschaftlichkeit!$K$8,$C63&gt;=Wirtschaftlichkeit!$K$8*Eingabemaske!$B$18),$C63,"0"))</f>
        <v>11.82798</v>
      </c>
      <c r="AV63" s="222">
        <v>4234</v>
      </c>
      <c r="AW63" s="224">
        <f t="shared" si="13"/>
        <v>861.78033000000005</v>
      </c>
      <c r="AX63" s="222">
        <v>4234</v>
      </c>
      <c r="AY63" s="226">
        <f t="shared" si="14"/>
        <v>11.82798</v>
      </c>
      <c r="AZ63" s="312">
        <v>4234</v>
      </c>
      <c r="BA63" s="286">
        <f>AU63*Wirtschaftlichkeit!$K$5/Wirtschaftlichkeit!$K$7</f>
        <v>4.6423842416943657</v>
      </c>
      <c r="BB63" s="284">
        <f t="shared" si="15"/>
        <v>338.24164597794129</v>
      </c>
      <c r="BD63" s="222">
        <v>4234</v>
      </c>
      <c r="BE63" s="225">
        <f>IF($C63&gt;=Wirtschaftlichkeit!$L$8,Wirtschaftlichkeit!$L$8,IF(AND($C63&lt;=Wirtschaftlichkeit!$L$8,$C63&gt;=Wirtschaftlichkeit!$L$8*Eingabemaske!$B$18),$C63,"0"))</f>
        <v>11.82798</v>
      </c>
      <c r="BF63" s="222">
        <v>4234</v>
      </c>
      <c r="BG63" s="224">
        <f t="shared" si="16"/>
        <v>861.78033000000005</v>
      </c>
      <c r="BH63" s="222">
        <v>4234</v>
      </c>
      <c r="BI63" s="226">
        <f t="shared" si="17"/>
        <v>11.82798</v>
      </c>
      <c r="BJ63" s="312">
        <v>4234</v>
      </c>
      <c r="BK63" s="286">
        <f>BE63*Wirtschaftlichkeit!$L$5/Wirtschaftlichkeit!$L$7</f>
        <v>4.771947322971454</v>
      </c>
      <c r="BL63" s="284">
        <f t="shared" si="18"/>
        <v>347.68154314878421</v>
      </c>
      <c r="BN63" s="222">
        <v>4234</v>
      </c>
      <c r="BO63" s="225">
        <f>IF($C63&gt;=Wirtschaftlichkeit!$M$8,Wirtschaftlichkeit!$M$8,IF(AND($C63&lt;=Wirtschaftlichkeit!$M$8,$C63&gt;=Wirtschaftlichkeit!$M$8*Eingabemaske!$B$18),$C63,"0"))</f>
        <v>11.82798</v>
      </c>
      <c r="BP63" s="222">
        <v>4234</v>
      </c>
      <c r="BQ63" s="224">
        <f t="shared" si="19"/>
        <v>861.78033000000005</v>
      </c>
      <c r="BR63" s="222">
        <v>4234</v>
      </c>
      <c r="BS63" s="226">
        <f t="shared" si="20"/>
        <v>11.82798</v>
      </c>
      <c r="BT63" s="312">
        <v>4234</v>
      </c>
      <c r="BU63" s="286">
        <f>BO63*Wirtschaftlichkeit!$M$5/Wirtschaftlichkeit!$M$7</f>
        <v>4.8851435692861491</v>
      </c>
      <c r="BV63" s="284">
        <f t="shared" si="21"/>
        <v>355.92896143185868</v>
      </c>
      <c r="BX63" s="222">
        <v>4234</v>
      </c>
      <c r="BY63" s="225">
        <f>IF($C63&gt;=Wirtschaftlichkeit!$N$8,Wirtschaftlichkeit!$N$8,IF(AND($C63&lt;=Wirtschaftlichkeit!$N$8,$C63&gt;=Wirtschaftlichkeit!$N$8*Eingabemaske!$B$18),$C63,"0"))</f>
        <v>11.82798</v>
      </c>
      <c r="BZ63" s="222">
        <v>4234</v>
      </c>
      <c r="CA63" s="224">
        <f t="shared" si="22"/>
        <v>861.78033000000005</v>
      </c>
      <c r="CB63" s="222">
        <v>4234</v>
      </c>
      <c r="CC63" s="226">
        <f t="shared" si="23"/>
        <v>11.82798</v>
      </c>
      <c r="CD63" s="312">
        <v>4234</v>
      </c>
      <c r="CE63" s="286">
        <f>BY63*Wirtschaftlichkeit!$N$5/Wirtschaftlichkeit!$N$7</f>
        <v>4.9860177913942598</v>
      </c>
      <c r="CF63" s="284">
        <f t="shared" si="24"/>
        <v>363.27860358688605</v>
      </c>
      <c r="CH63" s="222">
        <v>4234</v>
      </c>
      <c r="CI63" s="225">
        <f>IF($C63&gt;=Wirtschaftlichkeit!$O$8,Wirtschaftlichkeit!$O$8,IF(AND($C63&lt;=Wirtschaftlichkeit!$O$8,$C63&gt;=Wirtschaftlichkeit!$O$8*Eingabemaske!$B$18),$C63,"0"))</f>
        <v>11.82798</v>
      </c>
      <c r="CJ63" s="222">
        <v>4234</v>
      </c>
      <c r="CK63" s="224">
        <f t="shared" si="25"/>
        <v>861.78033000000005</v>
      </c>
      <c r="CL63" s="222">
        <v>4234</v>
      </c>
      <c r="CM63" s="226">
        <f t="shared" si="26"/>
        <v>11.82798</v>
      </c>
      <c r="CN63" s="312">
        <v>4234</v>
      </c>
      <c r="CO63" s="286">
        <f>CI63*Wirtschaftlichkeit!$O$5/Wirtschaftlichkeit!$O$7</f>
        <v>5.0772474234112135</v>
      </c>
      <c r="CP63" s="284">
        <f t="shared" si="27"/>
        <v>369.92554603905023</v>
      </c>
      <c r="CR63" s="222">
        <v>4234</v>
      </c>
      <c r="CS63" s="225">
        <f>IF($C63&gt;=Wirtschaftlichkeit!$P$8,Wirtschaftlichkeit!$P$8,IF(AND($C63&lt;=Wirtschaftlichkeit!$P$8,$C63&gt;=Wirtschaftlichkeit!$P$8*Eingabemaske!$B$18),$C63,"0"))</f>
        <v>11.82798</v>
      </c>
      <c r="CT63" s="222">
        <v>4234</v>
      </c>
      <c r="CU63" s="224">
        <f t="shared" si="28"/>
        <v>861.78033000000005</v>
      </c>
      <c r="CV63" s="222">
        <v>4234</v>
      </c>
      <c r="CW63" s="226">
        <f t="shared" si="29"/>
        <v>11.82798</v>
      </c>
      <c r="CX63" s="312">
        <v>4234</v>
      </c>
      <c r="CY63" s="286">
        <f>CS63*Wirtschaftlichkeit!$P$5/Wirtschaftlichkeit!$P$7</f>
        <v>5.1607024182659824</v>
      </c>
      <c r="CZ63" s="284">
        <f t="shared" si="30"/>
        <v>376.00603256389144</v>
      </c>
      <c r="DB63" s="222">
        <v>4234</v>
      </c>
      <c r="DC63" s="225" t="str">
        <f>IF($C63&gt;=Wirtschaftlichkeit!$Q$8,Wirtschaftlichkeit!$Q$8,IF(AND($C63&lt;=Wirtschaftlichkeit!$Q$8,$C63&gt;=Wirtschaftlichkeit!$Q$8*Eingabemaske!$B$18),$C63,"0"))</f>
        <v>0</v>
      </c>
      <c r="DD63" s="222">
        <v>4234</v>
      </c>
      <c r="DE63" s="224">
        <f t="shared" si="31"/>
        <v>0</v>
      </c>
      <c r="DF63" s="222">
        <v>4234</v>
      </c>
      <c r="DG63" s="226" t="str">
        <f t="shared" si="32"/>
        <v xml:space="preserve"> </v>
      </c>
      <c r="DH63" s="312">
        <v>4234</v>
      </c>
      <c r="DI63" s="286">
        <f>DC63*Wirtschaftlichkeit!$Q$5/Wirtschaftlichkeit!$Q$7</f>
        <v>0</v>
      </c>
      <c r="DJ63" s="284">
        <f t="shared" si="33"/>
        <v>0</v>
      </c>
      <c r="DL63" s="222">
        <v>4234</v>
      </c>
      <c r="DM63" s="225" t="str">
        <f>IF($C63&gt;=Wirtschaftlichkeit!$R$8,Wirtschaftlichkeit!$R$8,IF(AND($C63&lt;=Wirtschaftlichkeit!$R$8,$C63&gt;=Wirtschaftlichkeit!$R$8*Eingabemaske!$B$18),$C63,"0"))</f>
        <v>0</v>
      </c>
      <c r="DN63" s="222">
        <v>4234</v>
      </c>
      <c r="DO63" s="224">
        <f t="shared" si="34"/>
        <v>0</v>
      </c>
      <c r="DP63" s="222">
        <v>4234</v>
      </c>
      <c r="DQ63" s="226" t="str">
        <f t="shared" si="35"/>
        <v xml:space="preserve"> </v>
      </c>
      <c r="DR63" s="312">
        <v>4234</v>
      </c>
      <c r="DS63" s="286">
        <f>DM63*Wirtschaftlichkeit!$R$5/Wirtschaftlichkeit!$R$7</f>
        <v>0</v>
      </c>
      <c r="DT63" s="284">
        <f t="shared" si="36"/>
        <v>0</v>
      </c>
      <c r="DV63" s="222">
        <v>4234</v>
      </c>
      <c r="DW63" s="225" t="str">
        <f>IF($C63&gt;=Wirtschaftlichkeit!$S$8,Wirtschaftlichkeit!$S$8,IF(AND($C63&lt;=Wirtschaftlichkeit!$S$8,$C63&gt;=Wirtschaftlichkeit!$S$8*Eingabemaske!$B$18),$C63,"0"))</f>
        <v>0</v>
      </c>
      <c r="DX63" s="222">
        <v>4234</v>
      </c>
      <c r="DY63" s="224">
        <f t="shared" si="37"/>
        <v>0</v>
      </c>
      <c r="DZ63" s="222">
        <v>4234</v>
      </c>
      <c r="EA63" s="226" t="str">
        <f t="shared" si="38"/>
        <v xml:space="preserve"> </v>
      </c>
      <c r="EB63" s="312">
        <v>4234</v>
      </c>
      <c r="EC63" s="286">
        <f>DW63*Wirtschaftlichkeit!$S$5/Wirtschaftlichkeit!$S$7</f>
        <v>0</v>
      </c>
      <c r="ED63" s="284">
        <f t="shared" si="39"/>
        <v>0</v>
      </c>
      <c r="EF63" s="222">
        <v>4234</v>
      </c>
      <c r="EG63" s="225" t="str">
        <f>IF($C63&gt;=Wirtschaftlichkeit!$T$8,Wirtschaftlichkeit!$T$8,IF(AND($C63&lt;=Wirtschaftlichkeit!$T$8,$C63&gt;=Wirtschaftlichkeit!$T$8*Eingabemaske!$B$18),$C63,"0"))</f>
        <v>0</v>
      </c>
      <c r="EH63" s="222">
        <v>4234</v>
      </c>
      <c r="EI63" s="224">
        <f t="shared" si="40"/>
        <v>0</v>
      </c>
      <c r="EJ63" s="222">
        <v>4234</v>
      </c>
      <c r="EK63" s="226" t="str">
        <f t="shared" si="41"/>
        <v xml:space="preserve"> </v>
      </c>
      <c r="EL63" s="312">
        <v>4234</v>
      </c>
      <c r="EM63" s="286">
        <f>EG63*Wirtschaftlichkeit!$T$5/Wirtschaftlichkeit!$T$7</f>
        <v>0</v>
      </c>
      <c r="EN63" s="284">
        <f t="shared" si="42"/>
        <v>0</v>
      </c>
      <c r="EP63" s="222">
        <v>4234</v>
      </c>
      <c r="EQ63" s="225" t="str">
        <f>IF($C63&gt;=Wirtschaftlichkeit!$U$8,Wirtschaftlichkeit!$U$8,IF(AND($C63&lt;=Wirtschaftlichkeit!$U$8,$C63&gt;=Wirtschaftlichkeit!$U$8*Eingabemaske!$B$18),$C63,"0"))</f>
        <v>0</v>
      </c>
      <c r="ER63" s="222">
        <v>4234</v>
      </c>
      <c r="ES63" s="224">
        <f t="shared" si="43"/>
        <v>0</v>
      </c>
      <c r="ET63" s="222">
        <v>4234</v>
      </c>
      <c r="EU63" s="226" t="str">
        <f t="shared" si="44"/>
        <v xml:space="preserve"> </v>
      </c>
      <c r="EV63" s="312">
        <v>4234</v>
      </c>
      <c r="EW63" s="286">
        <f>EQ63*Wirtschaftlichkeit!$U$5/Wirtschaftlichkeit!$U$7</f>
        <v>0</v>
      </c>
      <c r="EX63" s="284">
        <f t="shared" si="45"/>
        <v>0</v>
      </c>
      <c r="EZ63" s="222">
        <v>4234</v>
      </c>
      <c r="FA63" s="225" t="str">
        <f>IF($C63&gt;=Wirtschaftlichkeit!$V$8,Wirtschaftlichkeit!$V$8,IF(AND($C63&lt;=Wirtschaftlichkeit!$V$8,$C63&gt;=Wirtschaftlichkeit!$V$8*Eingabemaske!$B$18),$C63,"0"))</f>
        <v>0</v>
      </c>
      <c r="FB63" s="222">
        <v>4234</v>
      </c>
      <c r="FC63" s="224">
        <f t="shared" si="46"/>
        <v>0</v>
      </c>
      <c r="FD63" s="222">
        <v>4234</v>
      </c>
      <c r="FE63" s="226" t="str">
        <f t="shared" si="47"/>
        <v xml:space="preserve"> </v>
      </c>
      <c r="FF63" s="312">
        <v>4234</v>
      </c>
      <c r="FG63" s="286">
        <f>FA63*Wirtschaftlichkeit!$V$5/Wirtschaftlichkeit!$V$7</f>
        <v>0</v>
      </c>
      <c r="FH63" s="284">
        <f t="shared" si="48"/>
        <v>0</v>
      </c>
      <c r="FJ63" s="222">
        <v>4234</v>
      </c>
      <c r="FK63" s="225" t="str">
        <f>IF($C63&gt;=Wirtschaftlichkeit!$W$8,Wirtschaftlichkeit!$W$8,IF(AND($C63&lt;=Wirtschaftlichkeit!$W$8,$C63&gt;=Wirtschaftlichkeit!$W$8*Eingabemaske!$B$18),$C63,"0"))</f>
        <v>0</v>
      </c>
      <c r="FL63" s="222">
        <v>4234</v>
      </c>
      <c r="FM63" s="224">
        <f t="shared" si="49"/>
        <v>0</v>
      </c>
      <c r="FN63" s="222">
        <v>4234</v>
      </c>
      <c r="FO63" s="226" t="str">
        <f t="shared" si="50"/>
        <v xml:space="preserve"> </v>
      </c>
      <c r="FP63" s="312">
        <v>4234</v>
      </c>
      <c r="FQ63" s="286">
        <f>FK63*Wirtschaftlichkeit!$W$5/Wirtschaftlichkeit!$W$7</f>
        <v>0</v>
      </c>
      <c r="FR63" s="284">
        <f t="shared" si="51"/>
        <v>0</v>
      </c>
      <c r="FT63" s="222">
        <v>4234</v>
      </c>
      <c r="FU63" s="225" t="str">
        <f>IF($C63&gt;=Wirtschaftlichkeit!$X$8,Wirtschaftlichkeit!$X$8,IF(AND($C63&lt;=Wirtschaftlichkeit!$X$8,$C63&gt;=Wirtschaftlichkeit!$X$8*Eingabemaske!$B$18),$C63,"0"))</f>
        <v>0</v>
      </c>
      <c r="FV63" s="222">
        <v>4234</v>
      </c>
      <c r="FW63" s="224">
        <f t="shared" si="52"/>
        <v>0</v>
      </c>
      <c r="FX63" s="222">
        <v>4234</v>
      </c>
      <c r="FY63" s="226" t="str">
        <f t="shared" si="53"/>
        <v xml:space="preserve"> </v>
      </c>
      <c r="FZ63" s="312">
        <v>4234</v>
      </c>
      <c r="GA63" s="286">
        <f>FU63*Wirtschaftlichkeit!$X$5/Wirtschaftlichkeit!$X$7</f>
        <v>0</v>
      </c>
      <c r="GB63" s="284">
        <f t="shared" si="54"/>
        <v>0</v>
      </c>
      <c r="GD63" s="222">
        <v>4234</v>
      </c>
      <c r="GE63" s="225" t="str">
        <f>IF($C63&gt;=Wirtschaftlichkeit!$Y$8,Wirtschaftlichkeit!$Y$8,IF(AND($C63&lt;=Wirtschaftlichkeit!$Y$8,$C63&gt;=Wirtschaftlichkeit!$Y$8*Eingabemaske!$B$18),$C63,"0"))</f>
        <v>0</v>
      </c>
      <c r="GF63" s="222">
        <v>4234</v>
      </c>
      <c r="GG63" s="224">
        <f t="shared" si="55"/>
        <v>0</v>
      </c>
      <c r="GH63" s="222">
        <v>4234</v>
      </c>
      <c r="GI63" s="226" t="str">
        <f t="shared" si="56"/>
        <v xml:space="preserve"> </v>
      </c>
      <c r="GJ63" s="312">
        <v>4234</v>
      </c>
      <c r="GK63" s="286">
        <f>GE63*Wirtschaftlichkeit!$Y$5/Wirtschaftlichkeit!$Y$7</f>
        <v>0</v>
      </c>
      <c r="GL63" s="284">
        <f t="shared" si="57"/>
        <v>0</v>
      </c>
      <c r="GN63" s="222">
        <v>4234</v>
      </c>
      <c r="GO63" s="225" t="str">
        <f>IF($C63&gt;=Wirtschaftlichkeit!$Z$8,Wirtschaftlichkeit!$Z$8,IF(AND($C63&lt;=Wirtschaftlichkeit!$Z$8,$C63&gt;=Wirtschaftlichkeit!$Z$8*Eingabemaske!$B$18),$C63,"0"))</f>
        <v>0</v>
      </c>
      <c r="GP63" s="222">
        <v>4234</v>
      </c>
      <c r="GQ63" s="224">
        <f t="shared" si="58"/>
        <v>0</v>
      </c>
      <c r="GR63" s="222">
        <v>4234</v>
      </c>
      <c r="GS63" s="226" t="str">
        <f t="shared" si="59"/>
        <v xml:space="preserve"> </v>
      </c>
      <c r="GT63" s="312">
        <v>4234</v>
      </c>
      <c r="GU63" s="286">
        <f>GO63*Wirtschaftlichkeit!$Z$5/Wirtschaftlichkeit!$Z$7</f>
        <v>0</v>
      </c>
      <c r="GV63" s="284">
        <f t="shared" si="60"/>
        <v>0</v>
      </c>
      <c r="GW63" s="266"/>
      <c r="GX63" s="258">
        <v>4234</v>
      </c>
      <c r="GY63" s="270">
        <f>IF(Berechnung_Diagramme!$C$28=Berechnungen_Lastgang!$F$2,Berechnungen_Lastgang!G63,IF(Berechnung_Diagramme!$C$28=Berechnungen_Lastgang!$P$2,Berechnungen_Lastgang!Q63,IF(Berechnung_Diagramme!$C$28=Berechnungen_Lastgang!$Z$2,Berechnungen_Lastgang!AA63,IF(Berechnung_Diagramme!$C$28=Berechnungen_Lastgang!$AJ$2,Berechnungen_Lastgang!AK63,IF(Berechnung_Diagramme!$C$28=Berechnungen_Lastgang!$AT$2,Berechnungen_Lastgang!AU63,IF(Berechnung_Diagramme!$C$28=Berechnungen_Lastgang!$BD$2,Berechnungen_Lastgang!BE63,IF(Berechnung_Diagramme!$C$28=Berechnungen_Lastgang!$BN$2,Berechnungen_Lastgang!BO63,IF(Berechnung_Diagramme!$C$28=Berechnungen_Lastgang!$BX$2,Berechnungen_Lastgang!BY63,IF(Berechnung_Diagramme!$C$28=Berechnungen_Lastgang!$CH$2,Berechnungen_Lastgang!CI63,IF(Berechnung_Diagramme!$C$28=Berechnungen_Lastgang!$CR$2,Berechnungen_Lastgang!CS63,IF(Berechnung_Diagramme!$C$28=Berechnungen_Lastgang!$DB$2,Berechnungen_Lastgang!DC63,IF(Berechnung_Diagramme!$C$28=Berechnungen_Lastgang!$DL$2,Berechnungen_Lastgang!DM63,IF(Berechnung_Diagramme!$C$28=Berechnungen_Lastgang!$DV$2,Berechnungen_Lastgang!DW63,IF(Berechnung_Diagramme!$C$28=Berechnungen_Lastgang!$EF$2,Berechnungen_Lastgang!EG63,IF(Berechnung_Diagramme!$C$28=Berechnungen_Lastgang!$EP$2,Berechnungen_Lastgang!EQ63,IF(Berechnung_Diagramme!$C$28=Berechnungen_Lastgang!$EZ$2,Berechnungen_Lastgang!FA63,IF(Berechnung_Diagramme!$C$28=Berechnungen_Lastgang!$FJ$2,Berechnungen_Lastgang!FK63,IF(Berechnung_Diagramme!$C$28=Berechnungen_Lastgang!$FT$2,Berechnungen_Lastgang!FU63,IF(Berechnung_Diagramme!$C$28=Berechnungen_Lastgang!$GD$2,Berechnungen_Lastgang!GE63,IF(Berechnung_Diagramme!$C$28=Berechnungen_Lastgang!$GN$2,Berechnungen_Lastgang!GO63,""))))))))))))))))))))</f>
        <v>11.82798</v>
      </c>
    </row>
    <row r="64" spans="2:207" x14ac:dyDescent="0.25">
      <c r="B64" s="64">
        <v>4307</v>
      </c>
      <c r="C64" s="67">
        <f>C63+((C65-C63)/(B65-B63))*(B64-B63)</f>
        <v>11.782440000000001</v>
      </c>
      <c r="D64" s="66">
        <f t="shared" si="61"/>
        <v>858.45591000000002</v>
      </c>
      <c r="F64" s="64">
        <v>4307</v>
      </c>
      <c r="G64" s="225">
        <f>IF($C64&gt;=Wirtschaftlichkeit!$G$8,Wirtschaftlichkeit!$G$8,IF(AND($C64&lt;=Wirtschaftlichkeit!$G$8,$C64&gt;=Wirtschaftlichkeit!$G$8*Eingabemaske!$B$18),$C64,"0"))</f>
        <v>2.8333333333333335</v>
      </c>
      <c r="H64" s="64">
        <v>4307</v>
      </c>
      <c r="I64" s="66">
        <f t="shared" si="62"/>
        <v>206.83333333333334</v>
      </c>
      <c r="J64" s="64">
        <v>4307</v>
      </c>
      <c r="K64" s="71">
        <f t="shared" si="63"/>
        <v>2.8333333333333335</v>
      </c>
      <c r="L64" s="312">
        <v>4307</v>
      </c>
      <c r="M64" s="286">
        <f>G64*Wirtschaftlichkeit!$G$5/Wirtschaftlichkeit!$G$7</f>
        <v>1</v>
      </c>
      <c r="N64" s="284">
        <f t="shared" si="3"/>
        <v>73</v>
      </c>
      <c r="P64" s="222">
        <v>4307</v>
      </c>
      <c r="Q64" s="225">
        <f>IF($C64&gt;=Wirtschaftlichkeit!$H$8,Wirtschaftlichkeit!$H$8,IF(AND($C64&lt;=Wirtschaftlichkeit!$H$8,$C64&gt;=Wirtschaftlichkeit!$H$8*Eingabemaske!$B$18),$C64,"0"))</f>
        <v>5.5876288659793811</v>
      </c>
      <c r="R64" s="222">
        <v>4307</v>
      </c>
      <c r="S64" s="224">
        <f t="shared" si="4"/>
        <v>407.89690721649481</v>
      </c>
      <c r="T64" s="222">
        <v>4307</v>
      </c>
      <c r="U64" s="226">
        <f t="shared" si="5"/>
        <v>5.5876288659793811</v>
      </c>
      <c r="V64" s="312">
        <v>4307</v>
      </c>
      <c r="W64" s="286">
        <f>Q64*Wirtschaftlichkeit!$H$5/Wirtschaftlichkeit!$H$7</f>
        <v>2</v>
      </c>
      <c r="X64" s="284">
        <f t="shared" si="6"/>
        <v>146</v>
      </c>
      <c r="Z64" s="222">
        <v>4307</v>
      </c>
      <c r="AA64" s="225">
        <f>IF($C64&gt;=Wirtschaftlichkeit!$I$8,Wirtschaftlichkeit!$I$8,IF(AND($C64&lt;=Wirtschaftlichkeit!$I$8,$C64&gt;=Wirtschaftlichkeit!$I$8*Eingabemaske!$B$18),$C64,"0"))</f>
        <v>8.2471643149712612</v>
      </c>
      <c r="AB64" s="222">
        <v>4307</v>
      </c>
      <c r="AC64" s="224">
        <f t="shared" si="7"/>
        <v>602.04299499290209</v>
      </c>
      <c r="AD64" s="222">
        <v>4307</v>
      </c>
      <c r="AE64" s="226">
        <f t="shared" si="8"/>
        <v>8.2471643149712612</v>
      </c>
      <c r="AF64" s="312">
        <v>4307</v>
      </c>
      <c r="AG64" s="286">
        <f>AA64*Wirtschaftlichkeit!$I$5/Wirtschaftlichkeit!$I$7</f>
        <v>3.0000000000000004</v>
      </c>
      <c r="AH64" s="284">
        <f t="shared" si="9"/>
        <v>219.00000000000003</v>
      </c>
      <c r="AJ64" s="222">
        <v>4307</v>
      </c>
      <c r="AK64" s="225">
        <f>IF($C64&gt;=Wirtschaftlichkeit!$J$8,Wirtschaftlichkeit!$J$8,IF(AND($C64&lt;=Wirtschaftlichkeit!$J$8,$C64&gt;=Wirtschaftlichkeit!$J$8*Eingabemaske!$B$18),$C64,"0"))</f>
        <v>10.537455322965799</v>
      </c>
      <c r="AL64" s="222">
        <v>4307</v>
      </c>
      <c r="AM64" s="224">
        <f t="shared" si="10"/>
        <v>769.23423857650334</v>
      </c>
      <c r="AN64" s="222">
        <v>4307</v>
      </c>
      <c r="AO64" s="226">
        <f t="shared" si="11"/>
        <v>10.537455322965799</v>
      </c>
      <c r="AP64" s="312">
        <v>4307</v>
      </c>
      <c r="AQ64" s="286">
        <f>AK64*Wirtschaftlichkeit!$J$5/Wirtschaftlichkeit!$J$7</f>
        <v>4</v>
      </c>
      <c r="AR64" s="284">
        <f t="shared" si="12"/>
        <v>292</v>
      </c>
      <c r="AT64" s="222">
        <v>4307</v>
      </c>
      <c r="AU64" s="225">
        <f>IF($C64&gt;=Wirtschaftlichkeit!$K$8,Wirtschaftlichkeit!$K$8,IF(AND($C64&lt;=Wirtschaftlichkeit!$K$8,$C64&gt;=Wirtschaftlichkeit!$K$8*Eingabemaske!$B$18),$C64,"0"))</f>
        <v>11.782440000000001</v>
      </c>
      <c r="AV64" s="222">
        <v>4307</v>
      </c>
      <c r="AW64" s="224">
        <f t="shared" si="13"/>
        <v>858.45591000000002</v>
      </c>
      <c r="AX64" s="222">
        <v>4307</v>
      </c>
      <c r="AY64" s="226">
        <f t="shared" si="14"/>
        <v>11.782440000000001</v>
      </c>
      <c r="AZ64" s="312">
        <v>4307</v>
      </c>
      <c r="BA64" s="286">
        <f>AU64*Wirtschaftlichkeit!$K$5/Wirtschaftlichkeit!$K$7</f>
        <v>4.6245101686601906</v>
      </c>
      <c r="BB64" s="284">
        <f t="shared" si="15"/>
        <v>336.93683864644652</v>
      </c>
      <c r="BD64" s="222">
        <v>4307</v>
      </c>
      <c r="BE64" s="225">
        <f>IF($C64&gt;=Wirtschaftlichkeit!$L$8,Wirtschaftlichkeit!$L$8,IF(AND($C64&lt;=Wirtschaftlichkeit!$L$8,$C64&gt;=Wirtschaftlichkeit!$L$8*Eingabemaske!$B$18),$C64,"0"))</f>
        <v>11.782440000000001</v>
      </c>
      <c r="BF64" s="222">
        <v>4307</v>
      </c>
      <c r="BG64" s="224">
        <f t="shared" si="16"/>
        <v>858.45591000000002</v>
      </c>
      <c r="BH64" s="222">
        <v>4307</v>
      </c>
      <c r="BI64" s="226">
        <f t="shared" si="17"/>
        <v>11.782440000000001</v>
      </c>
      <c r="BJ64" s="312">
        <v>4307</v>
      </c>
      <c r="BK64" s="286">
        <f>BE64*Wirtschaftlichkeit!$L$5/Wirtschaftlichkeit!$L$7</f>
        <v>4.7535744071322217</v>
      </c>
      <c r="BL64" s="284">
        <f t="shared" si="18"/>
        <v>346.34032029252023</v>
      </c>
      <c r="BN64" s="222">
        <v>4307</v>
      </c>
      <c r="BO64" s="225">
        <f>IF($C64&gt;=Wirtschaftlichkeit!$M$8,Wirtschaftlichkeit!$M$8,IF(AND($C64&lt;=Wirtschaftlichkeit!$M$8,$C64&gt;=Wirtschaftlichkeit!$M$8*Eingabemaske!$B$18),$C64,"0"))</f>
        <v>11.782440000000001</v>
      </c>
      <c r="BP64" s="222">
        <v>4307</v>
      </c>
      <c r="BQ64" s="224">
        <f t="shared" si="19"/>
        <v>858.45591000000002</v>
      </c>
      <c r="BR64" s="222">
        <v>4307</v>
      </c>
      <c r="BS64" s="226">
        <f t="shared" si="20"/>
        <v>11.782440000000001</v>
      </c>
      <c r="BT64" s="312">
        <v>4307</v>
      </c>
      <c r="BU64" s="286">
        <f>BO64*Wirtschaftlichkeit!$M$5/Wirtschaftlichkeit!$M$7</f>
        <v>4.8663348261072388</v>
      </c>
      <c r="BV64" s="284">
        <f t="shared" si="21"/>
        <v>354.55592317979819</v>
      </c>
      <c r="BX64" s="222">
        <v>4307</v>
      </c>
      <c r="BY64" s="225">
        <f>IF($C64&gt;=Wirtschaftlichkeit!$N$8,Wirtschaftlichkeit!$N$8,IF(AND($C64&lt;=Wirtschaftlichkeit!$N$8,$C64&gt;=Wirtschaftlichkeit!$N$8*Eingabemaske!$B$18),$C64,"0"))</f>
        <v>11.782440000000001</v>
      </c>
      <c r="BZ64" s="222">
        <v>4307</v>
      </c>
      <c r="CA64" s="224">
        <f t="shared" si="22"/>
        <v>858.45591000000002</v>
      </c>
      <c r="CB64" s="222">
        <v>4307</v>
      </c>
      <c r="CC64" s="226">
        <f t="shared" si="23"/>
        <v>11.782440000000001</v>
      </c>
      <c r="CD64" s="312">
        <v>4307</v>
      </c>
      <c r="CE64" s="286">
        <f>BY64*Wirtschaftlichkeit!$N$5/Wirtschaftlichkeit!$N$7</f>
        <v>4.9668206630409744</v>
      </c>
      <c r="CF64" s="284">
        <f t="shared" si="24"/>
        <v>361.8772132170962</v>
      </c>
      <c r="CH64" s="222">
        <v>4307</v>
      </c>
      <c r="CI64" s="225">
        <f>IF($C64&gt;=Wirtschaftlichkeit!$O$8,Wirtschaftlichkeit!$O$8,IF(AND($C64&lt;=Wirtschaftlichkeit!$O$8,$C64&gt;=Wirtschaftlichkeit!$O$8*Eingabemaske!$B$18),$C64,"0"))</f>
        <v>11.782440000000001</v>
      </c>
      <c r="CJ64" s="222">
        <v>4307</v>
      </c>
      <c r="CK64" s="224">
        <f t="shared" si="25"/>
        <v>858.45591000000002</v>
      </c>
      <c r="CL64" s="222">
        <v>4307</v>
      </c>
      <c r="CM64" s="226">
        <f t="shared" si="26"/>
        <v>11.782440000000001</v>
      </c>
      <c r="CN64" s="312">
        <v>4307</v>
      </c>
      <c r="CO64" s="286">
        <f>CI64*Wirtschaftlichkeit!$O$5/Wirtschaftlichkeit!$O$7</f>
        <v>5.0576990434120805</v>
      </c>
      <c r="CP64" s="284">
        <f t="shared" si="27"/>
        <v>368.49851429911354</v>
      </c>
      <c r="CR64" s="222">
        <v>4307</v>
      </c>
      <c r="CS64" s="225">
        <f>IF($C64&gt;=Wirtschaftlichkeit!$P$8,Wirtschaftlichkeit!$P$8,IF(AND($C64&lt;=Wirtschaftlichkeit!$P$8,$C64&gt;=Wirtschaftlichkeit!$P$8*Eingabemaske!$B$18),$C64,"0"))</f>
        <v>11.782440000000001</v>
      </c>
      <c r="CT64" s="222">
        <v>4307</v>
      </c>
      <c r="CU64" s="224">
        <f t="shared" si="28"/>
        <v>858.45591000000002</v>
      </c>
      <c r="CV64" s="222">
        <v>4307</v>
      </c>
      <c r="CW64" s="226">
        <f t="shared" si="29"/>
        <v>11.782440000000001</v>
      </c>
      <c r="CX64" s="312">
        <v>4307</v>
      </c>
      <c r="CY64" s="286">
        <f>CS64*Wirtschaftlichkeit!$P$5/Wirtschaftlichkeit!$P$7</f>
        <v>5.1408327204707689</v>
      </c>
      <c r="CZ64" s="284">
        <f t="shared" si="30"/>
        <v>374.55554462484082</v>
      </c>
      <c r="DB64" s="222">
        <v>4307</v>
      </c>
      <c r="DC64" s="225" t="str">
        <f>IF($C64&gt;=Wirtschaftlichkeit!$Q$8,Wirtschaftlichkeit!$Q$8,IF(AND($C64&lt;=Wirtschaftlichkeit!$Q$8,$C64&gt;=Wirtschaftlichkeit!$Q$8*Eingabemaske!$B$18),$C64,"0"))</f>
        <v>0</v>
      </c>
      <c r="DD64" s="222">
        <v>4307</v>
      </c>
      <c r="DE64" s="224">
        <f t="shared" si="31"/>
        <v>0</v>
      </c>
      <c r="DF64" s="222">
        <v>4307</v>
      </c>
      <c r="DG64" s="226" t="str">
        <f t="shared" si="32"/>
        <v xml:space="preserve"> </v>
      </c>
      <c r="DH64" s="312">
        <v>4307</v>
      </c>
      <c r="DI64" s="286">
        <f>DC64*Wirtschaftlichkeit!$Q$5/Wirtschaftlichkeit!$Q$7</f>
        <v>0</v>
      </c>
      <c r="DJ64" s="284">
        <f t="shared" si="33"/>
        <v>0</v>
      </c>
      <c r="DL64" s="222">
        <v>4307</v>
      </c>
      <c r="DM64" s="225" t="str">
        <f>IF($C64&gt;=Wirtschaftlichkeit!$R$8,Wirtschaftlichkeit!$R$8,IF(AND($C64&lt;=Wirtschaftlichkeit!$R$8,$C64&gt;=Wirtschaftlichkeit!$R$8*Eingabemaske!$B$18),$C64,"0"))</f>
        <v>0</v>
      </c>
      <c r="DN64" s="222">
        <v>4307</v>
      </c>
      <c r="DO64" s="224">
        <f t="shared" si="34"/>
        <v>0</v>
      </c>
      <c r="DP64" s="222">
        <v>4307</v>
      </c>
      <c r="DQ64" s="226" t="str">
        <f t="shared" si="35"/>
        <v xml:space="preserve"> </v>
      </c>
      <c r="DR64" s="312">
        <v>4307</v>
      </c>
      <c r="DS64" s="286">
        <f>DM64*Wirtschaftlichkeit!$R$5/Wirtschaftlichkeit!$R$7</f>
        <v>0</v>
      </c>
      <c r="DT64" s="284">
        <f t="shared" si="36"/>
        <v>0</v>
      </c>
      <c r="DV64" s="222">
        <v>4307</v>
      </c>
      <c r="DW64" s="225" t="str">
        <f>IF($C64&gt;=Wirtschaftlichkeit!$S$8,Wirtschaftlichkeit!$S$8,IF(AND($C64&lt;=Wirtschaftlichkeit!$S$8,$C64&gt;=Wirtschaftlichkeit!$S$8*Eingabemaske!$B$18),$C64,"0"))</f>
        <v>0</v>
      </c>
      <c r="DX64" s="222">
        <v>4307</v>
      </c>
      <c r="DY64" s="224">
        <f t="shared" si="37"/>
        <v>0</v>
      </c>
      <c r="DZ64" s="222">
        <v>4307</v>
      </c>
      <c r="EA64" s="226" t="str">
        <f t="shared" si="38"/>
        <v xml:space="preserve"> </v>
      </c>
      <c r="EB64" s="312">
        <v>4307</v>
      </c>
      <c r="EC64" s="286">
        <f>DW64*Wirtschaftlichkeit!$S$5/Wirtschaftlichkeit!$S$7</f>
        <v>0</v>
      </c>
      <c r="ED64" s="284">
        <f t="shared" si="39"/>
        <v>0</v>
      </c>
      <c r="EF64" s="222">
        <v>4307</v>
      </c>
      <c r="EG64" s="225" t="str">
        <f>IF($C64&gt;=Wirtschaftlichkeit!$T$8,Wirtschaftlichkeit!$T$8,IF(AND($C64&lt;=Wirtschaftlichkeit!$T$8,$C64&gt;=Wirtschaftlichkeit!$T$8*Eingabemaske!$B$18),$C64,"0"))</f>
        <v>0</v>
      </c>
      <c r="EH64" s="222">
        <v>4307</v>
      </c>
      <c r="EI64" s="224">
        <f t="shared" si="40"/>
        <v>0</v>
      </c>
      <c r="EJ64" s="222">
        <v>4307</v>
      </c>
      <c r="EK64" s="226" t="str">
        <f t="shared" si="41"/>
        <v xml:space="preserve"> </v>
      </c>
      <c r="EL64" s="312">
        <v>4307</v>
      </c>
      <c r="EM64" s="286">
        <f>EG64*Wirtschaftlichkeit!$T$5/Wirtschaftlichkeit!$T$7</f>
        <v>0</v>
      </c>
      <c r="EN64" s="284">
        <f t="shared" si="42"/>
        <v>0</v>
      </c>
      <c r="EP64" s="222">
        <v>4307</v>
      </c>
      <c r="EQ64" s="225" t="str">
        <f>IF($C64&gt;=Wirtschaftlichkeit!$U$8,Wirtschaftlichkeit!$U$8,IF(AND($C64&lt;=Wirtschaftlichkeit!$U$8,$C64&gt;=Wirtschaftlichkeit!$U$8*Eingabemaske!$B$18),$C64,"0"))</f>
        <v>0</v>
      </c>
      <c r="ER64" s="222">
        <v>4307</v>
      </c>
      <c r="ES64" s="224">
        <f t="shared" si="43"/>
        <v>0</v>
      </c>
      <c r="ET64" s="222">
        <v>4307</v>
      </c>
      <c r="EU64" s="226" t="str">
        <f t="shared" si="44"/>
        <v xml:space="preserve"> </v>
      </c>
      <c r="EV64" s="312">
        <v>4307</v>
      </c>
      <c r="EW64" s="286">
        <f>EQ64*Wirtschaftlichkeit!$U$5/Wirtschaftlichkeit!$U$7</f>
        <v>0</v>
      </c>
      <c r="EX64" s="284">
        <f t="shared" si="45"/>
        <v>0</v>
      </c>
      <c r="EZ64" s="222">
        <v>4307</v>
      </c>
      <c r="FA64" s="225" t="str">
        <f>IF($C64&gt;=Wirtschaftlichkeit!$V$8,Wirtschaftlichkeit!$V$8,IF(AND($C64&lt;=Wirtschaftlichkeit!$V$8,$C64&gt;=Wirtschaftlichkeit!$V$8*Eingabemaske!$B$18),$C64,"0"))</f>
        <v>0</v>
      </c>
      <c r="FB64" s="222">
        <v>4307</v>
      </c>
      <c r="FC64" s="224">
        <f t="shared" si="46"/>
        <v>0</v>
      </c>
      <c r="FD64" s="222">
        <v>4307</v>
      </c>
      <c r="FE64" s="226" t="str">
        <f t="shared" si="47"/>
        <v xml:space="preserve"> </v>
      </c>
      <c r="FF64" s="312">
        <v>4307</v>
      </c>
      <c r="FG64" s="286">
        <f>FA64*Wirtschaftlichkeit!$V$5/Wirtschaftlichkeit!$V$7</f>
        <v>0</v>
      </c>
      <c r="FH64" s="284">
        <f t="shared" si="48"/>
        <v>0</v>
      </c>
      <c r="FJ64" s="222">
        <v>4307</v>
      </c>
      <c r="FK64" s="225" t="str">
        <f>IF($C64&gt;=Wirtschaftlichkeit!$W$8,Wirtschaftlichkeit!$W$8,IF(AND($C64&lt;=Wirtschaftlichkeit!$W$8,$C64&gt;=Wirtschaftlichkeit!$W$8*Eingabemaske!$B$18),$C64,"0"))</f>
        <v>0</v>
      </c>
      <c r="FL64" s="222">
        <v>4307</v>
      </c>
      <c r="FM64" s="224">
        <f t="shared" si="49"/>
        <v>0</v>
      </c>
      <c r="FN64" s="222">
        <v>4307</v>
      </c>
      <c r="FO64" s="226" t="str">
        <f t="shared" si="50"/>
        <v xml:space="preserve"> </v>
      </c>
      <c r="FP64" s="312">
        <v>4307</v>
      </c>
      <c r="FQ64" s="286">
        <f>FK64*Wirtschaftlichkeit!$W$5/Wirtschaftlichkeit!$W$7</f>
        <v>0</v>
      </c>
      <c r="FR64" s="284">
        <f t="shared" si="51"/>
        <v>0</v>
      </c>
      <c r="FT64" s="222">
        <v>4307</v>
      </c>
      <c r="FU64" s="225" t="str">
        <f>IF($C64&gt;=Wirtschaftlichkeit!$X$8,Wirtschaftlichkeit!$X$8,IF(AND($C64&lt;=Wirtschaftlichkeit!$X$8,$C64&gt;=Wirtschaftlichkeit!$X$8*Eingabemaske!$B$18),$C64,"0"))</f>
        <v>0</v>
      </c>
      <c r="FV64" s="222">
        <v>4307</v>
      </c>
      <c r="FW64" s="224">
        <f t="shared" si="52"/>
        <v>0</v>
      </c>
      <c r="FX64" s="222">
        <v>4307</v>
      </c>
      <c r="FY64" s="226" t="str">
        <f t="shared" si="53"/>
        <v xml:space="preserve"> </v>
      </c>
      <c r="FZ64" s="312">
        <v>4307</v>
      </c>
      <c r="GA64" s="286">
        <f>FU64*Wirtschaftlichkeit!$X$5/Wirtschaftlichkeit!$X$7</f>
        <v>0</v>
      </c>
      <c r="GB64" s="284">
        <f t="shared" si="54"/>
        <v>0</v>
      </c>
      <c r="GD64" s="222">
        <v>4307</v>
      </c>
      <c r="GE64" s="225" t="str">
        <f>IF($C64&gt;=Wirtschaftlichkeit!$Y$8,Wirtschaftlichkeit!$Y$8,IF(AND($C64&lt;=Wirtschaftlichkeit!$Y$8,$C64&gt;=Wirtschaftlichkeit!$Y$8*Eingabemaske!$B$18),$C64,"0"))</f>
        <v>0</v>
      </c>
      <c r="GF64" s="222">
        <v>4307</v>
      </c>
      <c r="GG64" s="224">
        <f t="shared" si="55"/>
        <v>0</v>
      </c>
      <c r="GH64" s="222">
        <v>4307</v>
      </c>
      <c r="GI64" s="226" t="str">
        <f t="shared" si="56"/>
        <v xml:space="preserve"> </v>
      </c>
      <c r="GJ64" s="312">
        <v>4307</v>
      </c>
      <c r="GK64" s="286">
        <f>GE64*Wirtschaftlichkeit!$Y$5/Wirtschaftlichkeit!$Y$7</f>
        <v>0</v>
      </c>
      <c r="GL64" s="284">
        <f t="shared" si="57"/>
        <v>0</v>
      </c>
      <c r="GN64" s="222">
        <v>4307</v>
      </c>
      <c r="GO64" s="225" t="str">
        <f>IF($C64&gt;=Wirtschaftlichkeit!$Z$8,Wirtschaftlichkeit!$Z$8,IF(AND($C64&lt;=Wirtschaftlichkeit!$Z$8,$C64&gt;=Wirtschaftlichkeit!$Z$8*Eingabemaske!$B$18),$C64,"0"))</f>
        <v>0</v>
      </c>
      <c r="GP64" s="222">
        <v>4307</v>
      </c>
      <c r="GQ64" s="224">
        <f t="shared" si="58"/>
        <v>0</v>
      </c>
      <c r="GR64" s="222">
        <v>4307</v>
      </c>
      <c r="GS64" s="226" t="str">
        <f t="shared" si="59"/>
        <v xml:space="preserve"> </v>
      </c>
      <c r="GT64" s="312">
        <v>4307</v>
      </c>
      <c r="GU64" s="286">
        <f>GO64*Wirtschaftlichkeit!$Z$5/Wirtschaftlichkeit!$Z$7</f>
        <v>0</v>
      </c>
      <c r="GV64" s="284">
        <f t="shared" si="60"/>
        <v>0</v>
      </c>
      <c r="GW64" s="266"/>
      <c r="GX64" s="258">
        <v>4307</v>
      </c>
      <c r="GY64" s="270">
        <f>IF(Berechnung_Diagramme!$C$28=Berechnungen_Lastgang!$F$2,Berechnungen_Lastgang!G64,IF(Berechnung_Diagramme!$C$28=Berechnungen_Lastgang!$P$2,Berechnungen_Lastgang!Q64,IF(Berechnung_Diagramme!$C$28=Berechnungen_Lastgang!$Z$2,Berechnungen_Lastgang!AA64,IF(Berechnung_Diagramme!$C$28=Berechnungen_Lastgang!$AJ$2,Berechnungen_Lastgang!AK64,IF(Berechnung_Diagramme!$C$28=Berechnungen_Lastgang!$AT$2,Berechnungen_Lastgang!AU64,IF(Berechnung_Diagramme!$C$28=Berechnungen_Lastgang!$BD$2,Berechnungen_Lastgang!BE64,IF(Berechnung_Diagramme!$C$28=Berechnungen_Lastgang!$BN$2,Berechnungen_Lastgang!BO64,IF(Berechnung_Diagramme!$C$28=Berechnungen_Lastgang!$BX$2,Berechnungen_Lastgang!BY64,IF(Berechnung_Diagramme!$C$28=Berechnungen_Lastgang!$CH$2,Berechnungen_Lastgang!CI64,IF(Berechnung_Diagramme!$C$28=Berechnungen_Lastgang!$CR$2,Berechnungen_Lastgang!CS64,IF(Berechnung_Diagramme!$C$28=Berechnungen_Lastgang!$DB$2,Berechnungen_Lastgang!DC64,IF(Berechnung_Diagramme!$C$28=Berechnungen_Lastgang!$DL$2,Berechnungen_Lastgang!DM64,IF(Berechnung_Diagramme!$C$28=Berechnungen_Lastgang!$DV$2,Berechnungen_Lastgang!DW64,IF(Berechnung_Diagramme!$C$28=Berechnungen_Lastgang!$EF$2,Berechnungen_Lastgang!EG64,IF(Berechnung_Diagramme!$C$28=Berechnungen_Lastgang!$EP$2,Berechnungen_Lastgang!EQ64,IF(Berechnung_Diagramme!$C$28=Berechnungen_Lastgang!$EZ$2,Berechnungen_Lastgang!FA64,IF(Berechnung_Diagramme!$C$28=Berechnungen_Lastgang!$FJ$2,Berechnungen_Lastgang!FK64,IF(Berechnung_Diagramme!$C$28=Berechnungen_Lastgang!$FT$2,Berechnungen_Lastgang!FU64,IF(Berechnung_Diagramme!$C$28=Berechnungen_Lastgang!$GD$2,Berechnungen_Lastgang!GE64,IF(Berechnung_Diagramme!$C$28=Berechnungen_Lastgang!$GN$2,Berechnungen_Lastgang!GO64,""))))))))))))))))))))</f>
        <v>11.782440000000001</v>
      </c>
    </row>
    <row r="65" spans="2:207" x14ac:dyDescent="0.25">
      <c r="B65" s="64">
        <v>4380</v>
      </c>
      <c r="C65" s="67">
        <f>LARGE(Berechnung_Diagramme!$AB$5:$AB$16,7)</f>
        <v>11.7369</v>
      </c>
      <c r="D65" s="66">
        <f t="shared" si="61"/>
        <v>841.83381000000008</v>
      </c>
      <c r="F65" s="64">
        <v>4380</v>
      </c>
      <c r="G65" s="225">
        <f>IF($C65&gt;=Wirtschaftlichkeit!$G$8,Wirtschaftlichkeit!$G$8,IF(AND($C65&lt;=Wirtschaftlichkeit!$G$8,$C65&gt;=Wirtschaftlichkeit!$G$8*Eingabemaske!$B$18),$C65,"0"))</f>
        <v>2.8333333333333335</v>
      </c>
      <c r="H65" s="64">
        <v>4380</v>
      </c>
      <c r="I65" s="66">
        <f t="shared" si="62"/>
        <v>206.83333333333334</v>
      </c>
      <c r="J65" s="64">
        <v>4380</v>
      </c>
      <c r="K65" s="71">
        <f t="shared" si="63"/>
        <v>2.8333333333333335</v>
      </c>
      <c r="L65" s="312">
        <v>4380</v>
      </c>
      <c r="M65" s="286">
        <f>G65*Wirtschaftlichkeit!$G$5/Wirtschaftlichkeit!$G$7</f>
        <v>1</v>
      </c>
      <c r="N65" s="284">
        <f t="shared" si="3"/>
        <v>73</v>
      </c>
      <c r="P65" s="222">
        <v>4380</v>
      </c>
      <c r="Q65" s="225">
        <f>IF($C65&gt;=Wirtschaftlichkeit!$H$8,Wirtschaftlichkeit!$H$8,IF(AND($C65&lt;=Wirtschaftlichkeit!$H$8,$C65&gt;=Wirtschaftlichkeit!$H$8*Eingabemaske!$B$18),$C65,"0"))</f>
        <v>5.5876288659793811</v>
      </c>
      <c r="R65" s="222">
        <v>4380</v>
      </c>
      <c r="S65" s="224">
        <f t="shared" si="4"/>
        <v>407.89690721649481</v>
      </c>
      <c r="T65" s="222">
        <v>4380</v>
      </c>
      <c r="U65" s="226">
        <f t="shared" si="5"/>
        <v>5.5876288659793811</v>
      </c>
      <c r="V65" s="312">
        <v>4380</v>
      </c>
      <c r="W65" s="286">
        <f>Q65*Wirtschaftlichkeit!$H$5/Wirtschaftlichkeit!$H$7</f>
        <v>2</v>
      </c>
      <c r="X65" s="284">
        <f t="shared" si="6"/>
        <v>146</v>
      </c>
      <c r="Z65" s="222">
        <v>4380</v>
      </c>
      <c r="AA65" s="225">
        <f>IF($C65&gt;=Wirtschaftlichkeit!$I$8,Wirtschaftlichkeit!$I$8,IF(AND($C65&lt;=Wirtschaftlichkeit!$I$8,$C65&gt;=Wirtschaftlichkeit!$I$8*Eingabemaske!$B$18),$C65,"0"))</f>
        <v>8.2471643149712612</v>
      </c>
      <c r="AB65" s="222">
        <v>4380</v>
      </c>
      <c r="AC65" s="224">
        <f t="shared" si="7"/>
        <v>602.04299499290209</v>
      </c>
      <c r="AD65" s="222">
        <v>4380</v>
      </c>
      <c r="AE65" s="226">
        <f t="shared" si="8"/>
        <v>8.2471643149712612</v>
      </c>
      <c r="AF65" s="312">
        <v>4380</v>
      </c>
      <c r="AG65" s="286">
        <f>AA65*Wirtschaftlichkeit!$I$5/Wirtschaftlichkeit!$I$7</f>
        <v>3.0000000000000004</v>
      </c>
      <c r="AH65" s="284">
        <f t="shared" si="9"/>
        <v>219.00000000000003</v>
      </c>
      <c r="AJ65" s="222">
        <v>4380</v>
      </c>
      <c r="AK65" s="225">
        <f>IF($C65&gt;=Wirtschaftlichkeit!$J$8,Wirtschaftlichkeit!$J$8,IF(AND($C65&lt;=Wirtschaftlichkeit!$J$8,$C65&gt;=Wirtschaftlichkeit!$J$8*Eingabemaske!$B$18),$C65,"0"))</f>
        <v>10.537455322965799</v>
      </c>
      <c r="AL65" s="222">
        <v>4380</v>
      </c>
      <c r="AM65" s="224">
        <f t="shared" si="10"/>
        <v>769.23423857650334</v>
      </c>
      <c r="AN65" s="222">
        <v>4380</v>
      </c>
      <c r="AO65" s="226">
        <f t="shared" si="11"/>
        <v>10.537455322965799</v>
      </c>
      <c r="AP65" s="312">
        <v>4380</v>
      </c>
      <c r="AQ65" s="286">
        <f>AK65*Wirtschaftlichkeit!$J$5/Wirtschaftlichkeit!$J$7</f>
        <v>4</v>
      </c>
      <c r="AR65" s="284">
        <f t="shared" si="12"/>
        <v>292</v>
      </c>
      <c r="AT65" s="222">
        <v>4380</v>
      </c>
      <c r="AU65" s="225">
        <f>IF($C65&gt;=Wirtschaftlichkeit!$K$8,Wirtschaftlichkeit!$K$8,IF(AND($C65&lt;=Wirtschaftlichkeit!$K$8,$C65&gt;=Wirtschaftlichkeit!$K$8*Eingabemaske!$B$18),$C65,"0"))</f>
        <v>11.7369</v>
      </c>
      <c r="AV65" s="222">
        <v>4380</v>
      </c>
      <c r="AW65" s="224">
        <f t="shared" si="13"/>
        <v>841.83381000000008</v>
      </c>
      <c r="AX65" s="222">
        <v>4380</v>
      </c>
      <c r="AY65" s="226">
        <f t="shared" si="14"/>
        <v>11.7369</v>
      </c>
      <c r="AZ65" s="312">
        <v>4380</v>
      </c>
      <c r="BA65" s="286">
        <f>AU65*Wirtschaftlichkeit!$K$5/Wirtschaftlichkeit!$K$7</f>
        <v>4.6066360956260155</v>
      </c>
      <c r="BB65" s="284">
        <f t="shared" si="15"/>
        <v>330.4128019889726</v>
      </c>
      <c r="BD65" s="222">
        <v>4380</v>
      </c>
      <c r="BE65" s="225">
        <f>IF($C65&gt;=Wirtschaftlichkeit!$L$8,Wirtschaftlichkeit!$L$8,IF(AND($C65&lt;=Wirtschaftlichkeit!$L$8,$C65&gt;=Wirtschaftlichkeit!$L$8*Eingabemaske!$B$18),$C65,"0"))</f>
        <v>11.7369</v>
      </c>
      <c r="BF65" s="222">
        <v>4380</v>
      </c>
      <c r="BG65" s="224">
        <f t="shared" si="16"/>
        <v>841.83381000000008</v>
      </c>
      <c r="BH65" s="222">
        <v>4380</v>
      </c>
      <c r="BI65" s="226">
        <f t="shared" si="17"/>
        <v>11.7369</v>
      </c>
      <c r="BJ65" s="312">
        <v>4380</v>
      </c>
      <c r="BK65" s="286">
        <f>BE65*Wirtschaftlichkeit!$L$5/Wirtschaftlichkeit!$L$7</f>
        <v>4.7352014912929903</v>
      </c>
      <c r="BL65" s="284">
        <f t="shared" si="18"/>
        <v>339.63420601120049</v>
      </c>
      <c r="BN65" s="222">
        <v>4380</v>
      </c>
      <c r="BO65" s="225">
        <f>IF($C65&gt;=Wirtschaftlichkeit!$M$8,Wirtschaftlichkeit!$M$8,IF(AND($C65&lt;=Wirtschaftlichkeit!$M$8,$C65&gt;=Wirtschaftlichkeit!$M$8*Eingabemaske!$B$18),$C65,"0"))</f>
        <v>11.7369</v>
      </c>
      <c r="BP65" s="222">
        <v>4380</v>
      </c>
      <c r="BQ65" s="224">
        <f t="shared" si="19"/>
        <v>841.83381000000008</v>
      </c>
      <c r="BR65" s="222">
        <v>4380</v>
      </c>
      <c r="BS65" s="226">
        <f t="shared" si="20"/>
        <v>11.7369</v>
      </c>
      <c r="BT65" s="312">
        <v>4380</v>
      </c>
      <c r="BU65" s="286">
        <f>BO65*Wirtschaftlichkeit!$M$5/Wirtschaftlichkeit!$M$7</f>
        <v>4.8475260829283284</v>
      </c>
      <c r="BV65" s="284">
        <f t="shared" si="21"/>
        <v>347.69073191949582</v>
      </c>
      <c r="BX65" s="222">
        <v>4380</v>
      </c>
      <c r="BY65" s="225">
        <f>IF($C65&gt;=Wirtschaftlichkeit!$N$8,Wirtschaftlichkeit!$N$8,IF(AND($C65&lt;=Wirtschaftlichkeit!$N$8,$C65&gt;=Wirtschaftlichkeit!$N$8*Eingabemaske!$B$18),$C65,"0"))</f>
        <v>11.7369</v>
      </c>
      <c r="BZ65" s="222">
        <v>4380</v>
      </c>
      <c r="CA65" s="224">
        <f t="shared" si="22"/>
        <v>841.83381000000008</v>
      </c>
      <c r="CB65" s="222">
        <v>4380</v>
      </c>
      <c r="CC65" s="226">
        <f t="shared" si="23"/>
        <v>11.7369</v>
      </c>
      <c r="CD65" s="312">
        <v>4380</v>
      </c>
      <c r="CE65" s="286">
        <f>BY65*Wirtschaftlichkeit!$N$5/Wirtschaftlichkeit!$N$7</f>
        <v>4.9476235346876889</v>
      </c>
      <c r="CF65" s="284">
        <f t="shared" si="24"/>
        <v>354.870261368147</v>
      </c>
      <c r="CH65" s="222">
        <v>4380</v>
      </c>
      <c r="CI65" s="225">
        <f>IF($C65&gt;=Wirtschaftlichkeit!$O$8,Wirtschaftlichkeit!$O$8,IF(AND($C65&lt;=Wirtschaftlichkeit!$O$8,$C65&gt;=Wirtschaftlichkeit!$O$8*Eingabemaske!$B$18),$C65,"0"))</f>
        <v>11.7369</v>
      </c>
      <c r="CJ65" s="222">
        <v>4380</v>
      </c>
      <c r="CK65" s="224">
        <f t="shared" si="25"/>
        <v>841.83381000000008</v>
      </c>
      <c r="CL65" s="222">
        <v>4380</v>
      </c>
      <c r="CM65" s="226">
        <f t="shared" si="26"/>
        <v>11.7369</v>
      </c>
      <c r="CN65" s="312">
        <v>4380</v>
      </c>
      <c r="CO65" s="286">
        <f>CI65*Wirtschaftlichkeit!$O$5/Wirtschaftlichkeit!$O$7</f>
        <v>5.0381506634129467</v>
      </c>
      <c r="CP65" s="284">
        <f t="shared" si="27"/>
        <v>361.36335559942989</v>
      </c>
      <c r="CR65" s="222">
        <v>4380</v>
      </c>
      <c r="CS65" s="225">
        <f>IF($C65&gt;=Wirtschaftlichkeit!$P$8,Wirtschaftlichkeit!$P$8,IF(AND($C65&lt;=Wirtschaftlichkeit!$P$8,$C65&gt;=Wirtschaftlichkeit!$P$8*Eingabemaske!$B$18),$C65,"0"))</f>
        <v>11.7369</v>
      </c>
      <c r="CT65" s="222">
        <v>4380</v>
      </c>
      <c r="CU65" s="224">
        <f t="shared" si="28"/>
        <v>428.39685000000003</v>
      </c>
      <c r="CV65" s="222">
        <v>4380</v>
      </c>
      <c r="CW65" s="226">
        <f t="shared" si="29"/>
        <v>11.7369</v>
      </c>
      <c r="CX65" s="312">
        <v>4380</v>
      </c>
      <c r="CY65" s="286">
        <f>CS65*Wirtschaftlichkeit!$P$5/Wirtschaftlichkeit!$P$7</f>
        <v>5.1209630226755554</v>
      </c>
      <c r="CZ65" s="284">
        <f t="shared" si="30"/>
        <v>186.91515032765778</v>
      </c>
      <c r="DB65" s="222">
        <v>4380</v>
      </c>
      <c r="DC65" s="225" t="str">
        <f>IF($C65&gt;=Wirtschaftlichkeit!$Q$8,Wirtschaftlichkeit!$Q$8,IF(AND($C65&lt;=Wirtschaftlichkeit!$Q$8,$C65&gt;=Wirtschaftlichkeit!$Q$8*Eingabemaske!$B$18),$C65,"0"))</f>
        <v>0</v>
      </c>
      <c r="DD65" s="222">
        <v>4380</v>
      </c>
      <c r="DE65" s="224">
        <f t="shared" si="31"/>
        <v>0</v>
      </c>
      <c r="DF65" s="222">
        <v>4380</v>
      </c>
      <c r="DG65" s="226" t="str">
        <f t="shared" si="32"/>
        <v xml:space="preserve"> </v>
      </c>
      <c r="DH65" s="312">
        <v>4380</v>
      </c>
      <c r="DI65" s="286">
        <f>DC65*Wirtschaftlichkeit!$Q$5/Wirtschaftlichkeit!$Q$7</f>
        <v>0</v>
      </c>
      <c r="DJ65" s="284">
        <f t="shared" si="33"/>
        <v>0</v>
      </c>
      <c r="DL65" s="222">
        <v>4380</v>
      </c>
      <c r="DM65" s="225" t="str">
        <f>IF($C65&gt;=Wirtschaftlichkeit!$R$8,Wirtschaftlichkeit!$R$8,IF(AND($C65&lt;=Wirtschaftlichkeit!$R$8,$C65&gt;=Wirtschaftlichkeit!$R$8*Eingabemaske!$B$18),$C65,"0"))</f>
        <v>0</v>
      </c>
      <c r="DN65" s="222">
        <v>4380</v>
      </c>
      <c r="DO65" s="224">
        <f t="shared" si="34"/>
        <v>0</v>
      </c>
      <c r="DP65" s="222">
        <v>4380</v>
      </c>
      <c r="DQ65" s="226" t="str">
        <f t="shared" si="35"/>
        <v xml:space="preserve"> </v>
      </c>
      <c r="DR65" s="312">
        <v>4380</v>
      </c>
      <c r="DS65" s="286">
        <f>DM65*Wirtschaftlichkeit!$R$5/Wirtschaftlichkeit!$R$7</f>
        <v>0</v>
      </c>
      <c r="DT65" s="284">
        <f t="shared" si="36"/>
        <v>0</v>
      </c>
      <c r="DV65" s="222">
        <v>4380</v>
      </c>
      <c r="DW65" s="225" t="str">
        <f>IF($C65&gt;=Wirtschaftlichkeit!$S$8,Wirtschaftlichkeit!$S$8,IF(AND($C65&lt;=Wirtschaftlichkeit!$S$8,$C65&gt;=Wirtschaftlichkeit!$S$8*Eingabemaske!$B$18),$C65,"0"))</f>
        <v>0</v>
      </c>
      <c r="DX65" s="222">
        <v>4380</v>
      </c>
      <c r="DY65" s="224">
        <f t="shared" si="37"/>
        <v>0</v>
      </c>
      <c r="DZ65" s="222">
        <v>4380</v>
      </c>
      <c r="EA65" s="226" t="str">
        <f t="shared" si="38"/>
        <v xml:space="preserve"> </v>
      </c>
      <c r="EB65" s="312">
        <v>4380</v>
      </c>
      <c r="EC65" s="286">
        <f>DW65*Wirtschaftlichkeit!$S$5/Wirtschaftlichkeit!$S$7</f>
        <v>0</v>
      </c>
      <c r="ED65" s="284">
        <f t="shared" si="39"/>
        <v>0</v>
      </c>
      <c r="EF65" s="222">
        <v>4380</v>
      </c>
      <c r="EG65" s="225" t="str">
        <f>IF($C65&gt;=Wirtschaftlichkeit!$T$8,Wirtschaftlichkeit!$T$8,IF(AND($C65&lt;=Wirtschaftlichkeit!$T$8,$C65&gt;=Wirtschaftlichkeit!$T$8*Eingabemaske!$B$18),$C65,"0"))</f>
        <v>0</v>
      </c>
      <c r="EH65" s="222">
        <v>4380</v>
      </c>
      <c r="EI65" s="224">
        <f t="shared" si="40"/>
        <v>0</v>
      </c>
      <c r="EJ65" s="222">
        <v>4380</v>
      </c>
      <c r="EK65" s="226" t="str">
        <f t="shared" si="41"/>
        <v xml:space="preserve"> </v>
      </c>
      <c r="EL65" s="312">
        <v>4380</v>
      </c>
      <c r="EM65" s="286">
        <f>EG65*Wirtschaftlichkeit!$T$5/Wirtschaftlichkeit!$T$7</f>
        <v>0</v>
      </c>
      <c r="EN65" s="284">
        <f t="shared" si="42"/>
        <v>0</v>
      </c>
      <c r="EP65" s="222">
        <v>4380</v>
      </c>
      <c r="EQ65" s="225" t="str">
        <f>IF($C65&gt;=Wirtschaftlichkeit!$U$8,Wirtschaftlichkeit!$U$8,IF(AND($C65&lt;=Wirtschaftlichkeit!$U$8,$C65&gt;=Wirtschaftlichkeit!$U$8*Eingabemaske!$B$18),$C65,"0"))</f>
        <v>0</v>
      </c>
      <c r="ER65" s="222">
        <v>4380</v>
      </c>
      <c r="ES65" s="224">
        <f t="shared" si="43"/>
        <v>0</v>
      </c>
      <c r="ET65" s="222">
        <v>4380</v>
      </c>
      <c r="EU65" s="226" t="str">
        <f t="shared" si="44"/>
        <v xml:space="preserve"> </v>
      </c>
      <c r="EV65" s="312">
        <v>4380</v>
      </c>
      <c r="EW65" s="286">
        <f>EQ65*Wirtschaftlichkeit!$U$5/Wirtschaftlichkeit!$U$7</f>
        <v>0</v>
      </c>
      <c r="EX65" s="284">
        <f t="shared" si="45"/>
        <v>0</v>
      </c>
      <c r="EZ65" s="222">
        <v>4380</v>
      </c>
      <c r="FA65" s="225" t="str">
        <f>IF($C65&gt;=Wirtschaftlichkeit!$V$8,Wirtschaftlichkeit!$V$8,IF(AND($C65&lt;=Wirtschaftlichkeit!$V$8,$C65&gt;=Wirtschaftlichkeit!$V$8*Eingabemaske!$B$18),$C65,"0"))</f>
        <v>0</v>
      </c>
      <c r="FB65" s="222">
        <v>4380</v>
      </c>
      <c r="FC65" s="224">
        <f t="shared" si="46"/>
        <v>0</v>
      </c>
      <c r="FD65" s="222">
        <v>4380</v>
      </c>
      <c r="FE65" s="226" t="str">
        <f t="shared" si="47"/>
        <v xml:space="preserve"> </v>
      </c>
      <c r="FF65" s="312">
        <v>4380</v>
      </c>
      <c r="FG65" s="286">
        <f>FA65*Wirtschaftlichkeit!$V$5/Wirtschaftlichkeit!$V$7</f>
        <v>0</v>
      </c>
      <c r="FH65" s="284">
        <f t="shared" si="48"/>
        <v>0</v>
      </c>
      <c r="FJ65" s="222">
        <v>4380</v>
      </c>
      <c r="FK65" s="225" t="str">
        <f>IF($C65&gt;=Wirtschaftlichkeit!$W$8,Wirtschaftlichkeit!$W$8,IF(AND($C65&lt;=Wirtschaftlichkeit!$W$8,$C65&gt;=Wirtschaftlichkeit!$W$8*Eingabemaske!$B$18),$C65,"0"))</f>
        <v>0</v>
      </c>
      <c r="FL65" s="222">
        <v>4380</v>
      </c>
      <c r="FM65" s="224">
        <f t="shared" si="49"/>
        <v>0</v>
      </c>
      <c r="FN65" s="222">
        <v>4380</v>
      </c>
      <c r="FO65" s="226" t="str">
        <f t="shared" si="50"/>
        <v xml:space="preserve"> </v>
      </c>
      <c r="FP65" s="312">
        <v>4380</v>
      </c>
      <c r="FQ65" s="286">
        <f>FK65*Wirtschaftlichkeit!$W$5/Wirtschaftlichkeit!$W$7</f>
        <v>0</v>
      </c>
      <c r="FR65" s="284">
        <f t="shared" si="51"/>
        <v>0</v>
      </c>
      <c r="FT65" s="222">
        <v>4380</v>
      </c>
      <c r="FU65" s="225" t="str">
        <f>IF($C65&gt;=Wirtschaftlichkeit!$X$8,Wirtschaftlichkeit!$X$8,IF(AND($C65&lt;=Wirtschaftlichkeit!$X$8,$C65&gt;=Wirtschaftlichkeit!$X$8*Eingabemaske!$B$18),$C65,"0"))</f>
        <v>0</v>
      </c>
      <c r="FV65" s="222">
        <v>4380</v>
      </c>
      <c r="FW65" s="224">
        <f t="shared" si="52"/>
        <v>0</v>
      </c>
      <c r="FX65" s="222">
        <v>4380</v>
      </c>
      <c r="FY65" s="226" t="str">
        <f t="shared" si="53"/>
        <v xml:space="preserve"> </v>
      </c>
      <c r="FZ65" s="312">
        <v>4380</v>
      </c>
      <c r="GA65" s="286">
        <f>FU65*Wirtschaftlichkeit!$X$5/Wirtschaftlichkeit!$X$7</f>
        <v>0</v>
      </c>
      <c r="GB65" s="284">
        <f t="shared" si="54"/>
        <v>0</v>
      </c>
      <c r="GD65" s="222">
        <v>4380</v>
      </c>
      <c r="GE65" s="225" t="str">
        <f>IF($C65&gt;=Wirtschaftlichkeit!$Y$8,Wirtschaftlichkeit!$Y$8,IF(AND($C65&lt;=Wirtschaftlichkeit!$Y$8,$C65&gt;=Wirtschaftlichkeit!$Y$8*Eingabemaske!$B$18),$C65,"0"))</f>
        <v>0</v>
      </c>
      <c r="GF65" s="222">
        <v>4380</v>
      </c>
      <c r="GG65" s="224">
        <f t="shared" si="55"/>
        <v>0</v>
      </c>
      <c r="GH65" s="222">
        <v>4380</v>
      </c>
      <c r="GI65" s="226" t="str">
        <f t="shared" si="56"/>
        <v xml:space="preserve"> </v>
      </c>
      <c r="GJ65" s="312">
        <v>4380</v>
      </c>
      <c r="GK65" s="286">
        <f>GE65*Wirtschaftlichkeit!$Y$5/Wirtschaftlichkeit!$Y$7</f>
        <v>0</v>
      </c>
      <c r="GL65" s="284">
        <f t="shared" si="57"/>
        <v>0</v>
      </c>
      <c r="GN65" s="222">
        <v>4380</v>
      </c>
      <c r="GO65" s="225" t="str">
        <f>IF($C65&gt;=Wirtschaftlichkeit!$Z$8,Wirtschaftlichkeit!$Z$8,IF(AND($C65&lt;=Wirtschaftlichkeit!$Z$8,$C65&gt;=Wirtschaftlichkeit!$Z$8*Eingabemaske!$B$18),$C65,"0"))</f>
        <v>0</v>
      </c>
      <c r="GP65" s="222">
        <v>4380</v>
      </c>
      <c r="GQ65" s="224">
        <f t="shared" si="58"/>
        <v>0</v>
      </c>
      <c r="GR65" s="222">
        <v>4380</v>
      </c>
      <c r="GS65" s="226" t="str">
        <f t="shared" si="59"/>
        <v xml:space="preserve"> </v>
      </c>
      <c r="GT65" s="312">
        <v>4380</v>
      </c>
      <c r="GU65" s="286">
        <f>GO65*Wirtschaftlichkeit!$Z$5/Wirtschaftlichkeit!$Z$7</f>
        <v>0</v>
      </c>
      <c r="GV65" s="284">
        <f t="shared" si="60"/>
        <v>0</v>
      </c>
      <c r="GW65" s="266"/>
      <c r="GX65" s="258">
        <v>4380</v>
      </c>
      <c r="GY65" s="270">
        <f>IF(Berechnung_Diagramme!$C$28=Berechnungen_Lastgang!$F$2,Berechnungen_Lastgang!G65,IF(Berechnung_Diagramme!$C$28=Berechnungen_Lastgang!$P$2,Berechnungen_Lastgang!Q65,IF(Berechnung_Diagramme!$C$28=Berechnungen_Lastgang!$Z$2,Berechnungen_Lastgang!AA65,IF(Berechnung_Diagramme!$C$28=Berechnungen_Lastgang!$AJ$2,Berechnungen_Lastgang!AK65,IF(Berechnung_Diagramme!$C$28=Berechnungen_Lastgang!$AT$2,Berechnungen_Lastgang!AU65,IF(Berechnung_Diagramme!$C$28=Berechnungen_Lastgang!$BD$2,Berechnungen_Lastgang!BE65,IF(Berechnung_Diagramme!$C$28=Berechnungen_Lastgang!$BN$2,Berechnungen_Lastgang!BO65,IF(Berechnung_Diagramme!$C$28=Berechnungen_Lastgang!$BX$2,Berechnungen_Lastgang!BY65,IF(Berechnung_Diagramme!$C$28=Berechnungen_Lastgang!$CH$2,Berechnungen_Lastgang!CI65,IF(Berechnung_Diagramme!$C$28=Berechnungen_Lastgang!$CR$2,Berechnungen_Lastgang!CS65,IF(Berechnung_Diagramme!$C$28=Berechnungen_Lastgang!$DB$2,Berechnungen_Lastgang!DC65,IF(Berechnung_Diagramme!$C$28=Berechnungen_Lastgang!$DL$2,Berechnungen_Lastgang!DM65,IF(Berechnung_Diagramme!$C$28=Berechnungen_Lastgang!$DV$2,Berechnungen_Lastgang!DW65,IF(Berechnung_Diagramme!$C$28=Berechnungen_Lastgang!$EF$2,Berechnungen_Lastgang!EG65,IF(Berechnung_Diagramme!$C$28=Berechnungen_Lastgang!$EP$2,Berechnungen_Lastgang!EQ65,IF(Berechnung_Diagramme!$C$28=Berechnungen_Lastgang!$EZ$2,Berechnungen_Lastgang!FA65,IF(Berechnung_Diagramme!$C$28=Berechnungen_Lastgang!$FJ$2,Berechnungen_Lastgang!FK65,IF(Berechnung_Diagramme!$C$28=Berechnungen_Lastgang!$FT$2,Berechnungen_Lastgang!FU65,IF(Berechnung_Diagramme!$C$28=Berechnungen_Lastgang!$GD$2,Berechnungen_Lastgang!GE65,IF(Berechnung_Diagramme!$C$28=Berechnungen_Lastgang!$GN$2,Berechnungen_Lastgang!GO65,""))))))))))))))))))))</f>
        <v>11.7369</v>
      </c>
    </row>
    <row r="66" spans="2:207" x14ac:dyDescent="0.25">
      <c r="B66" s="64">
        <v>4453</v>
      </c>
      <c r="C66" s="67">
        <f>C65+((C70-C65)/(B70-B65))*(B66-B65)</f>
        <v>11.32704</v>
      </c>
      <c r="D66" s="66">
        <f t="shared" si="61"/>
        <v>811.91402999999991</v>
      </c>
      <c r="F66" s="64">
        <v>4453</v>
      </c>
      <c r="G66" s="225">
        <f>IF($C66&gt;=Wirtschaftlichkeit!$G$8,Wirtschaftlichkeit!$G$8,IF(AND($C66&lt;=Wirtschaftlichkeit!$G$8,$C66&gt;=Wirtschaftlichkeit!$G$8*Eingabemaske!$B$18),$C66,"0"))</f>
        <v>2.8333333333333335</v>
      </c>
      <c r="H66" s="64">
        <v>4453</v>
      </c>
      <c r="I66" s="66">
        <f t="shared" si="62"/>
        <v>206.83333333333334</v>
      </c>
      <c r="J66" s="64">
        <v>4453</v>
      </c>
      <c r="K66" s="71">
        <f t="shared" si="63"/>
        <v>2.8333333333333335</v>
      </c>
      <c r="L66" s="312">
        <v>4453</v>
      </c>
      <c r="M66" s="286">
        <f>G66*Wirtschaftlichkeit!$G$5/Wirtschaftlichkeit!$G$7</f>
        <v>1</v>
      </c>
      <c r="N66" s="284">
        <f t="shared" si="3"/>
        <v>73</v>
      </c>
      <c r="P66" s="222">
        <v>4453</v>
      </c>
      <c r="Q66" s="225">
        <f>IF($C66&gt;=Wirtschaftlichkeit!$H$8,Wirtschaftlichkeit!$H$8,IF(AND($C66&lt;=Wirtschaftlichkeit!$H$8,$C66&gt;=Wirtschaftlichkeit!$H$8*Eingabemaske!$B$18),$C66,"0"))</f>
        <v>5.5876288659793811</v>
      </c>
      <c r="R66" s="222">
        <v>4453</v>
      </c>
      <c r="S66" s="224">
        <f t="shared" si="4"/>
        <v>407.89690721649481</v>
      </c>
      <c r="T66" s="222">
        <v>4453</v>
      </c>
      <c r="U66" s="226">
        <f t="shared" si="5"/>
        <v>5.5876288659793811</v>
      </c>
      <c r="V66" s="312">
        <v>4453</v>
      </c>
      <c r="W66" s="286">
        <f>Q66*Wirtschaftlichkeit!$H$5/Wirtschaftlichkeit!$H$7</f>
        <v>2</v>
      </c>
      <c r="X66" s="284">
        <f t="shared" si="6"/>
        <v>146</v>
      </c>
      <c r="Z66" s="222">
        <v>4453</v>
      </c>
      <c r="AA66" s="225">
        <f>IF($C66&gt;=Wirtschaftlichkeit!$I$8,Wirtschaftlichkeit!$I$8,IF(AND($C66&lt;=Wirtschaftlichkeit!$I$8,$C66&gt;=Wirtschaftlichkeit!$I$8*Eingabemaske!$B$18),$C66,"0"))</f>
        <v>8.2471643149712612</v>
      </c>
      <c r="AB66" s="222">
        <v>4453</v>
      </c>
      <c r="AC66" s="224">
        <f t="shared" si="7"/>
        <v>602.04299499290209</v>
      </c>
      <c r="AD66" s="222">
        <v>4453</v>
      </c>
      <c r="AE66" s="226">
        <f t="shared" si="8"/>
        <v>8.2471643149712612</v>
      </c>
      <c r="AF66" s="312">
        <v>4453</v>
      </c>
      <c r="AG66" s="286">
        <f>AA66*Wirtschaftlichkeit!$I$5/Wirtschaftlichkeit!$I$7</f>
        <v>3.0000000000000004</v>
      </c>
      <c r="AH66" s="284">
        <f t="shared" si="9"/>
        <v>219.00000000000003</v>
      </c>
      <c r="AJ66" s="222">
        <v>4453</v>
      </c>
      <c r="AK66" s="225">
        <f>IF($C66&gt;=Wirtschaftlichkeit!$J$8,Wirtschaftlichkeit!$J$8,IF(AND($C66&lt;=Wirtschaftlichkeit!$J$8,$C66&gt;=Wirtschaftlichkeit!$J$8*Eingabemaske!$B$18),$C66,"0"))</f>
        <v>10.537455322965799</v>
      </c>
      <c r="AL66" s="222">
        <v>4453</v>
      </c>
      <c r="AM66" s="224">
        <f t="shared" si="10"/>
        <v>769.23423857650334</v>
      </c>
      <c r="AN66" s="222">
        <v>4453</v>
      </c>
      <c r="AO66" s="226">
        <f t="shared" si="11"/>
        <v>10.537455322965799</v>
      </c>
      <c r="AP66" s="312">
        <v>4453</v>
      </c>
      <c r="AQ66" s="286">
        <f>AK66*Wirtschaftlichkeit!$J$5/Wirtschaftlichkeit!$J$7</f>
        <v>4</v>
      </c>
      <c r="AR66" s="284">
        <f t="shared" si="12"/>
        <v>292</v>
      </c>
      <c r="AT66" s="222">
        <v>4453</v>
      </c>
      <c r="AU66" s="225">
        <f>IF($C66&gt;=Wirtschaftlichkeit!$K$8,Wirtschaftlichkeit!$K$8,IF(AND($C66&lt;=Wirtschaftlichkeit!$K$8,$C66&gt;=Wirtschaftlichkeit!$K$8*Eingabemaske!$B$18),$C66,"0"))</f>
        <v>11.32704</v>
      </c>
      <c r="AV66" s="222">
        <v>4453</v>
      </c>
      <c r="AW66" s="224">
        <f t="shared" si="13"/>
        <v>811.91402999999991</v>
      </c>
      <c r="AX66" s="222">
        <v>4453</v>
      </c>
      <c r="AY66" s="226">
        <f t="shared" si="14"/>
        <v>11.32704</v>
      </c>
      <c r="AZ66" s="312">
        <v>4453</v>
      </c>
      <c r="BA66" s="286">
        <f>AU66*Wirtschaftlichkeit!$K$5/Wirtschaftlichkeit!$K$7</f>
        <v>4.4457694383184405</v>
      </c>
      <c r="BB66" s="284">
        <f t="shared" si="15"/>
        <v>318.66953600551966</v>
      </c>
      <c r="BD66" s="222">
        <v>4453</v>
      </c>
      <c r="BE66" s="225">
        <f>IF($C66&gt;=Wirtschaftlichkeit!$L$8,Wirtschaftlichkeit!$L$8,IF(AND($C66&lt;=Wirtschaftlichkeit!$L$8,$C66&gt;=Wirtschaftlichkeit!$L$8*Eingabemaske!$B$18),$C66,"0"))</f>
        <v>11.32704</v>
      </c>
      <c r="BF66" s="222">
        <v>4453</v>
      </c>
      <c r="BG66" s="224">
        <f t="shared" si="16"/>
        <v>811.91402999999991</v>
      </c>
      <c r="BH66" s="222">
        <v>4453</v>
      </c>
      <c r="BI66" s="226">
        <f t="shared" si="17"/>
        <v>11.32704</v>
      </c>
      <c r="BJ66" s="312">
        <v>4453</v>
      </c>
      <c r="BK66" s="286">
        <f>BE66*Wirtschaftlichkeit!$L$5/Wirtschaftlichkeit!$L$7</f>
        <v>4.5698452487399006</v>
      </c>
      <c r="BL66" s="284">
        <f t="shared" si="18"/>
        <v>327.56320030482505</v>
      </c>
      <c r="BN66" s="222">
        <v>4453</v>
      </c>
      <c r="BO66" s="225">
        <f>IF($C66&gt;=Wirtschaftlichkeit!$M$8,Wirtschaftlichkeit!$M$8,IF(AND($C66&lt;=Wirtschaftlichkeit!$M$8,$C66&gt;=Wirtschaftlichkeit!$M$8*Eingabemaske!$B$18),$C66,"0"))</f>
        <v>11.32704</v>
      </c>
      <c r="BP66" s="222">
        <v>4453</v>
      </c>
      <c r="BQ66" s="224">
        <f t="shared" si="19"/>
        <v>811.91402999999991</v>
      </c>
      <c r="BR66" s="222">
        <v>4453</v>
      </c>
      <c r="BS66" s="226">
        <f t="shared" si="20"/>
        <v>11.32704</v>
      </c>
      <c r="BT66" s="312">
        <v>4453</v>
      </c>
      <c r="BU66" s="286">
        <f>BO66*Wirtschaftlichkeit!$M$5/Wirtschaftlichkeit!$M$7</f>
        <v>4.6782473943181326</v>
      </c>
      <c r="BV66" s="284">
        <f t="shared" si="21"/>
        <v>335.33338765095158</v>
      </c>
      <c r="BX66" s="222">
        <v>4453</v>
      </c>
      <c r="BY66" s="225">
        <f>IF($C66&gt;=Wirtschaftlichkeit!$N$8,Wirtschaftlichkeit!$N$8,IF(AND($C66&lt;=Wirtschaftlichkeit!$N$8,$C66&gt;=Wirtschaftlichkeit!$N$8*Eingabemaske!$B$18),$C66,"0"))</f>
        <v>11.32704</v>
      </c>
      <c r="BZ66" s="222">
        <v>4453</v>
      </c>
      <c r="CA66" s="224">
        <f t="shared" si="22"/>
        <v>811.91402999999991</v>
      </c>
      <c r="CB66" s="222">
        <v>4453</v>
      </c>
      <c r="CC66" s="226">
        <f t="shared" si="23"/>
        <v>11.32704</v>
      </c>
      <c r="CD66" s="312">
        <v>4453</v>
      </c>
      <c r="CE66" s="286">
        <f>BY66*Wirtschaftlichkeit!$N$5/Wirtschaftlichkeit!$N$7</f>
        <v>4.7748493795081188</v>
      </c>
      <c r="CF66" s="284">
        <f t="shared" si="24"/>
        <v>342.25774804003834</v>
      </c>
      <c r="CH66" s="222">
        <v>4453</v>
      </c>
      <c r="CI66" s="225">
        <f>IF($C66&gt;=Wirtschaftlichkeit!$O$8,Wirtschaftlichkeit!$O$8,IF(AND($C66&lt;=Wirtschaftlichkeit!$O$8,$C66&gt;=Wirtschaftlichkeit!$O$8*Eingabemaske!$B$18),$C66,"0"))</f>
        <v>11.32704</v>
      </c>
      <c r="CJ66" s="222">
        <v>4453</v>
      </c>
      <c r="CK66" s="224">
        <f t="shared" si="25"/>
        <v>811.91402999999991</v>
      </c>
      <c r="CL66" s="222">
        <v>4453</v>
      </c>
      <c r="CM66" s="226">
        <f t="shared" si="26"/>
        <v>11.32704</v>
      </c>
      <c r="CN66" s="312">
        <v>4453</v>
      </c>
      <c r="CO66" s="286">
        <f>CI66*Wirtschaftlichkeit!$O$5/Wirtschaftlichkeit!$O$7</f>
        <v>4.8622152434207484</v>
      </c>
      <c r="CP66" s="284">
        <f t="shared" si="27"/>
        <v>348.52006993999942</v>
      </c>
      <c r="CR66" s="222">
        <v>4453</v>
      </c>
      <c r="CS66" s="225" t="str">
        <f>IF($C66&gt;=Wirtschaftlichkeit!$P$8,Wirtschaftlichkeit!$P$8,IF(AND($C66&lt;=Wirtschaftlichkeit!$P$8,$C66&gt;=Wirtschaftlichkeit!$P$8*Eingabemaske!$B$18),$C66,"0"))</f>
        <v>0</v>
      </c>
      <c r="CT66" s="222">
        <v>4453</v>
      </c>
      <c r="CU66" s="224">
        <f t="shared" si="28"/>
        <v>0</v>
      </c>
      <c r="CV66" s="222">
        <v>4453</v>
      </c>
      <c r="CW66" s="226" t="str">
        <f t="shared" si="29"/>
        <v xml:space="preserve"> </v>
      </c>
      <c r="CX66" s="312">
        <v>4453</v>
      </c>
      <c r="CY66" s="286">
        <f>CS66*Wirtschaftlichkeit!$P$5/Wirtschaftlichkeit!$P$7</f>
        <v>0</v>
      </c>
      <c r="CZ66" s="284">
        <f t="shared" si="30"/>
        <v>0</v>
      </c>
      <c r="DB66" s="222">
        <v>4453</v>
      </c>
      <c r="DC66" s="225" t="str">
        <f>IF($C66&gt;=Wirtschaftlichkeit!$Q$8,Wirtschaftlichkeit!$Q$8,IF(AND($C66&lt;=Wirtschaftlichkeit!$Q$8,$C66&gt;=Wirtschaftlichkeit!$Q$8*Eingabemaske!$B$18),$C66,"0"))</f>
        <v>0</v>
      </c>
      <c r="DD66" s="222">
        <v>4453</v>
      </c>
      <c r="DE66" s="224">
        <f t="shared" si="31"/>
        <v>0</v>
      </c>
      <c r="DF66" s="222">
        <v>4453</v>
      </c>
      <c r="DG66" s="226" t="str">
        <f t="shared" si="32"/>
        <v xml:space="preserve"> </v>
      </c>
      <c r="DH66" s="312">
        <v>4453</v>
      </c>
      <c r="DI66" s="286">
        <f>DC66*Wirtschaftlichkeit!$Q$5/Wirtschaftlichkeit!$Q$7</f>
        <v>0</v>
      </c>
      <c r="DJ66" s="284">
        <f t="shared" si="33"/>
        <v>0</v>
      </c>
      <c r="DL66" s="222">
        <v>4453</v>
      </c>
      <c r="DM66" s="225" t="str">
        <f>IF($C66&gt;=Wirtschaftlichkeit!$R$8,Wirtschaftlichkeit!$R$8,IF(AND($C66&lt;=Wirtschaftlichkeit!$R$8,$C66&gt;=Wirtschaftlichkeit!$R$8*Eingabemaske!$B$18),$C66,"0"))</f>
        <v>0</v>
      </c>
      <c r="DN66" s="222">
        <v>4453</v>
      </c>
      <c r="DO66" s="224">
        <f t="shared" si="34"/>
        <v>0</v>
      </c>
      <c r="DP66" s="222">
        <v>4453</v>
      </c>
      <c r="DQ66" s="226" t="str">
        <f t="shared" si="35"/>
        <v xml:space="preserve"> </v>
      </c>
      <c r="DR66" s="312">
        <v>4453</v>
      </c>
      <c r="DS66" s="286">
        <f>DM66*Wirtschaftlichkeit!$R$5/Wirtschaftlichkeit!$R$7</f>
        <v>0</v>
      </c>
      <c r="DT66" s="284">
        <f t="shared" si="36"/>
        <v>0</v>
      </c>
      <c r="DV66" s="222">
        <v>4453</v>
      </c>
      <c r="DW66" s="225" t="str">
        <f>IF($C66&gt;=Wirtschaftlichkeit!$S$8,Wirtschaftlichkeit!$S$8,IF(AND($C66&lt;=Wirtschaftlichkeit!$S$8,$C66&gt;=Wirtschaftlichkeit!$S$8*Eingabemaske!$B$18),$C66,"0"))</f>
        <v>0</v>
      </c>
      <c r="DX66" s="222">
        <v>4453</v>
      </c>
      <c r="DY66" s="224">
        <f t="shared" si="37"/>
        <v>0</v>
      </c>
      <c r="DZ66" s="222">
        <v>4453</v>
      </c>
      <c r="EA66" s="226" t="str">
        <f t="shared" si="38"/>
        <v xml:space="preserve"> </v>
      </c>
      <c r="EB66" s="312">
        <v>4453</v>
      </c>
      <c r="EC66" s="286">
        <f>DW66*Wirtschaftlichkeit!$S$5/Wirtschaftlichkeit!$S$7</f>
        <v>0</v>
      </c>
      <c r="ED66" s="284">
        <f t="shared" si="39"/>
        <v>0</v>
      </c>
      <c r="EF66" s="222">
        <v>4453</v>
      </c>
      <c r="EG66" s="225" t="str">
        <f>IF($C66&gt;=Wirtschaftlichkeit!$T$8,Wirtschaftlichkeit!$T$8,IF(AND($C66&lt;=Wirtschaftlichkeit!$T$8,$C66&gt;=Wirtschaftlichkeit!$T$8*Eingabemaske!$B$18),$C66,"0"))</f>
        <v>0</v>
      </c>
      <c r="EH66" s="222">
        <v>4453</v>
      </c>
      <c r="EI66" s="224">
        <f t="shared" si="40"/>
        <v>0</v>
      </c>
      <c r="EJ66" s="222">
        <v>4453</v>
      </c>
      <c r="EK66" s="226" t="str">
        <f t="shared" si="41"/>
        <v xml:space="preserve"> </v>
      </c>
      <c r="EL66" s="312">
        <v>4453</v>
      </c>
      <c r="EM66" s="286">
        <f>EG66*Wirtschaftlichkeit!$T$5/Wirtschaftlichkeit!$T$7</f>
        <v>0</v>
      </c>
      <c r="EN66" s="284">
        <f t="shared" si="42"/>
        <v>0</v>
      </c>
      <c r="EP66" s="222">
        <v>4453</v>
      </c>
      <c r="EQ66" s="225" t="str">
        <f>IF($C66&gt;=Wirtschaftlichkeit!$U$8,Wirtschaftlichkeit!$U$8,IF(AND($C66&lt;=Wirtschaftlichkeit!$U$8,$C66&gt;=Wirtschaftlichkeit!$U$8*Eingabemaske!$B$18),$C66,"0"))</f>
        <v>0</v>
      </c>
      <c r="ER66" s="222">
        <v>4453</v>
      </c>
      <c r="ES66" s="224">
        <f t="shared" si="43"/>
        <v>0</v>
      </c>
      <c r="ET66" s="222">
        <v>4453</v>
      </c>
      <c r="EU66" s="226" t="str">
        <f t="shared" si="44"/>
        <v xml:space="preserve"> </v>
      </c>
      <c r="EV66" s="312">
        <v>4453</v>
      </c>
      <c r="EW66" s="286">
        <f>EQ66*Wirtschaftlichkeit!$U$5/Wirtschaftlichkeit!$U$7</f>
        <v>0</v>
      </c>
      <c r="EX66" s="284">
        <f t="shared" si="45"/>
        <v>0</v>
      </c>
      <c r="EZ66" s="222">
        <v>4453</v>
      </c>
      <c r="FA66" s="225" t="str">
        <f>IF($C66&gt;=Wirtschaftlichkeit!$V$8,Wirtschaftlichkeit!$V$8,IF(AND($C66&lt;=Wirtschaftlichkeit!$V$8,$C66&gt;=Wirtschaftlichkeit!$V$8*Eingabemaske!$B$18),$C66,"0"))</f>
        <v>0</v>
      </c>
      <c r="FB66" s="222">
        <v>4453</v>
      </c>
      <c r="FC66" s="224">
        <f t="shared" si="46"/>
        <v>0</v>
      </c>
      <c r="FD66" s="222">
        <v>4453</v>
      </c>
      <c r="FE66" s="226" t="str">
        <f t="shared" si="47"/>
        <v xml:space="preserve"> </v>
      </c>
      <c r="FF66" s="312">
        <v>4453</v>
      </c>
      <c r="FG66" s="286">
        <f>FA66*Wirtschaftlichkeit!$V$5/Wirtschaftlichkeit!$V$7</f>
        <v>0</v>
      </c>
      <c r="FH66" s="284">
        <f t="shared" si="48"/>
        <v>0</v>
      </c>
      <c r="FJ66" s="222">
        <v>4453</v>
      </c>
      <c r="FK66" s="225" t="str">
        <f>IF($C66&gt;=Wirtschaftlichkeit!$W$8,Wirtschaftlichkeit!$W$8,IF(AND($C66&lt;=Wirtschaftlichkeit!$W$8,$C66&gt;=Wirtschaftlichkeit!$W$8*Eingabemaske!$B$18),$C66,"0"))</f>
        <v>0</v>
      </c>
      <c r="FL66" s="222">
        <v>4453</v>
      </c>
      <c r="FM66" s="224">
        <f t="shared" si="49"/>
        <v>0</v>
      </c>
      <c r="FN66" s="222">
        <v>4453</v>
      </c>
      <c r="FO66" s="226" t="str">
        <f t="shared" si="50"/>
        <v xml:space="preserve"> </v>
      </c>
      <c r="FP66" s="312">
        <v>4453</v>
      </c>
      <c r="FQ66" s="286">
        <f>FK66*Wirtschaftlichkeit!$W$5/Wirtschaftlichkeit!$W$7</f>
        <v>0</v>
      </c>
      <c r="FR66" s="284">
        <f t="shared" si="51"/>
        <v>0</v>
      </c>
      <c r="FT66" s="222">
        <v>4453</v>
      </c>
      <c r="FU66" s="225" t="str">
        <f>IF($C66&gt;=Wirtschaftlichkeit!$X$8,Wirtschaftlichkeit!$X$8,IF(AND($C66&lt;=Wirtschaftlichkeit!$X$8,$C66&gt;=Wirtschaftlichkeit!$X$8*Eingabemaske!$B$18),$C66,"0"))</f>
        <v>0</v>
      </c>
      <c r="FV66" s="222">
        <v>4453</v>
      </c>
      <c r="FW66" s="224">
        <f t="shared" si="52"/>
        <v>0</v>
      </c>
      <c r="FX66" s="222">
        <v>4453</v>
      </c>
      <c r="FY66" s="226" t="str">
        <f t="shared" si="53"/>
        <v xml:space="preserve"> </v>
      </c>
      <c r="FZ66" s="312">
        <v>4453</v>
      </c>
      <c r="GA66" s="286">
        <f>FU66*Wirtschaftlichkeit!$X$5/Wirtschaftlichkeit!$X$7</f>
        <v>0</v>
      </c>
      <c r="GB66" s="284">
        <f t="shared" si="54"/>
        <v>0</v>
      </c>
      <c r="GD66" s="222">
        <v>4453</v>
      </c>
      <c r="GE66" s="225" t="str">
        <f>IF($C66&gt;=Wirtschaftlichkeit!$Y$8,Wirtschaftlichkeit!$Y$8,IF(AND($C66&lt;=Wirtschaftlichkeit!$Y$8,$C66&gt;=Wirtschaftlichkeit!$Y$8*Eingabemaske!$B$18),$C66,"0"))</f>
        <v>0</v>
      </c>
      <c r="GF66" s="222">
        <v>4453</v>
      </c>
      <c r="GG66" s="224">
        <f t="shared" si="55"/>
        <v>0</v>
      </c>
      <c r="GH66" s="222">
        <v>4453</v>
      </c>
      <c r="GI66" s="226" t="str">
        <f t="shared" si="56"/>
        <v xml:space="preserve"> </v>
      </c>
      <c r="GJ66" s="312">
        <v>4453</v>
      </c>
      <c r="GK66" s="286">
        <f>GE66*Wirtschaftlichkeit!$Y$5/Wirtschaftlichkeit!$Y$7</f>
        <v>0</v>
      </c>
      <c r="GL66" s="284">
        <f t="shared" si="57"/>
        <v>0</v>
      </c>
      <c r="GN66" s="222">
        <v>4453</v>
      </c>
      <c r="GO66" s="225" t="str">
        <f>IF($C66&gt;=Wirtschaftlichkeit!$Z$8,Wirtschaftlichkeit!$Z$8,IF(AND($C66&lt;=Wirtschaftlichkeit!$Z$8,$C66&gt;=Wirtschaftlichkeit!$Z$8*Eingabemaske!$B$18),$C66,"0"))</f>
        <v>0</v>
      </c>
      <c r="GP66" s="222">
        <v>4453</v>
      </c>
      <c r="GQ66" s="224">
        <f t="shared" si="58"/>
        <v>0</v>
      </c>
      <c r="GR66" s="222">
        <v>4453</v>
      </c>
      <c r="GS66" s="226" t="str">
        <f t="shared" si="59"/>
        <v xml:space="preserve"> </v>
      </c>
      <c r="GT66" s="312">
        <v>4453</v>
      </c>
      <c r="GU66" s="286">
        <f>GO66*Wirtschaftlichkeit!$Z$5/Wirtschaftlichkeit!$Z$7</f>
        <v>0</v>
      </c>
      <c r="GV66" s="284">
        <f t="shared" si="60"/>
        <v>0</v>
      </c>
      <c r="GW66" s="266"/>
      <c r="GX66" s="258">
        <v>4453</v>
      </c>
      <c r="GY66" s="270">
        <f>IF(Berechnung_Diagramme!$C$28=Berechnungen_Lastgang!$F$2,Berechnungen_Lastgang!G66,IF(Berechnung_Diagramme!$C$28=Berechnungen_Lastgang!$P$2,Berechnungen_Lastgang!Q66,IF(Berechnung_Diagramme!$C$28=Berechnungen_Lastgang!$Z$2,Berechnungen_Lastgang!AA66,IF(Berechnung_Diagramme!$C$28=Berechnungen_Lastgang!$AJ$2,Berechnungen_Lastgang!AK66,IF(Berechnung_Diagramme!$C$28=Berechnungen_Lastgang!$AT$2,Berechnungen_Lastgang!AU66,IF(Berechnung_Diagramme!$C$28=Berechnungen_Lastgang!$BD$2,Berechnungen_Lastgang!BE66,IF(Berechnung_Diagramme!$C$28=Berechnungen_Lastgang!$BN$2,Berechnungen_Lastgang!BO66,IF(Berechnung_Diagramme!$C$28=Berechnungen_Lastgang!$BX$2,Berechnungen_Lastgang!BY66,IF(Berechnung_Diagramme!$C$28=Berechnungen_Lastgang!$CH$2,Berechnungen_Lastgang!CI66,IF(Berechnung_Diagramme!$C$28=Berechnungen_Lastgang!$CR$2,Berechnungen_Lastgang!CS66,IF(Berechnung_Diagramme!$C$28=Berechnungen_Lastgang!$DB$2,Berechnungen_Lastgang!DC66,IF(Berechnung_Diagramme!$C$28=Berechnungen_Lastgang!$DL$2,Berechnungen_Lastgang!DM66,IF(Berechnung_Diagramme!$C$28=Berechnungen_Lastgang!$DV$2,Berechnungen_Lastgang!DW66,IF(Berechnung_Diagramme!$C$28=Berechnungen_Lastgang!$EF$2,Berechnungen_Lastgang!EG66,IF(Berechnung_Diagramme!$C$28=Berechnungen_Lastgang!$EP$2,Berechnungen_Lastgang!EQ66,IF(Berechnung_Diagramme!$C$28=Berechnungen_Lastgang!$EZ$2,Berechnungen_Lastgang!FA66,IF(Berechnung_Diagramme!$C$28=Berechnungen_Lastgang!$FJ$2,Berechnungen_Lastgang!FK66,IF(Berechnung_Diagramme!$C$28=Berechnungen_Lastgang!$FT$2,Berechnungen_Lastgang!FU66,IF(Berechnung_Diagramme!$C$28=Berechnungen_Lastgang!$GD$2,Berechnungen_Lastgang!GE66,IF(Berechnung_Diagramme!$C$28=Berechnungen_Lastgang!$GN$2,Berechnungen_Lastgang!GO66,""))))))))))))))))))))</f>
        <v>11.32704</v>
      </c>
    </row>
    <row r="67" spans="2:207" x14ac:dyDescent="0.25">
      <c r="B67" s="64">
        <v>4526</v>
      </c>
      <c r="C67" s="67">
        <f>C66+((C70-C66)/(B70-B66))*(B67-B66)</f>
        <v>10.91718</v>
      </c>
      <c r="D67" s="66">
        <f t="shared" si="61"/>
        <v>781.99425000000008</v>
      </c>
      <c r="F67" s="64">
        <v>4526</v>
      </c>
      <c r="G67" s="225">
        <f>IF($C67&gt;=Wirtschaftlichkeit!$G$8,Wirtschaftlichkeit!$G$8,IF(AND($C67&lt;=Wirtschaftlichkeit!$G$8,$C67&gt;=Wirtschaftlichkeit!$G$8*Eingabemaske!$B$18),$C67,"0"))</f>
        <v>2.8333333333333335</v>
      </c>
      <c r="H67" s="64">
        <v>4526</v>
      </c>
      <c r="I67" s="66">
        <f t="shared" si="62"/>
        <v>206.83333333333334</v>
      </c>
      <c r="J67" s="64">
        <v>4526</v>
      </c>
      <c r="K67" s="71">
        <f t="shared" si="63"/>
        <v>2.8333333333333335</v>
      </c>
      <c r="L67" s="312">
        <v>4526</v>
      </c>
      <c r="M67" s="286">
        <f>G67*Wirtschaftlichkeit!$G$5/Wirtschaftlichkeit!$G$7</f>
        <v>1</v>
      </c>
      <c r="N67" s="284">
        <f t="shared" si="3"/>
        <v>73</v>
      </c>
      <c r="P67" s="222">
        <v>4526</v>
      </c>
      <c r="Q67" s="225">
        <f>IF($C67&gt;=Wirtschaftlichkeit!$H$8,Wirtschaftlichkeit!$H$8,IF(AND($C67&lt;=Wirtschaftlichkeit!$H$8,$C67&gt;=Wirtschaftlichkeit!$H$8*Eingabemaske!$B$18),$C67,"0"))</f>
        <v>5.5876288659793811</v>
      </c>
      <c r="R67" s="222">
        <v>4526</v>
      </c>
      <c r="S67" s="224">
        <f t="shared" si="4"/>
        <v>407.89690721649481</v>
      </c>
      <c r="T67" s="222">
        <v>4526</v>
      </c>
      <c r="U67" s="226">
        <f t="shared" si="5"/>
        <v>5.5876288659793811</v>
      </c>
      <c r="V67" s="312">
        <v>4526</v>
      </c>
      <c r="W67" s="286">
        <f>Q67*Wirtschaftlichkeit!$H$5/Wirtschaftlichkeit!$H$7</f>
        <v>2</v>
      </c>
      <c r="X67" s="284">
        <f t="shared" si="6"/>
        <v>146</v>
      </c>
      <c r="Z67" s="222">
        <v>4526</v>
      </c>
      <c r="AA67" s="225">
        <f>IF($C67&gt;=Wirtschaftlichkeit!$I$8,Wirtschaftlichkeit!$I$8,IF(AND($C67&lt;=Wirtschaftlichkeit!$I$8,$C67&gt;=Wirtschaftlichkeit!$I$8*Eingabemaske!$B$18),$C67,"0"))</f>
        <v>8.2471643149712612</v>
      </c>
      <c r="AB67" s="222">
        <v>4526</v>
      </c>
      <c r="AC67" s="224">
        <f t="shared" si="7"/>
        <v>602.04299499290209</v>
      </c>
      <c r="AD67" s="222">
        <v>4526</v>
      </c>
      <c r="AE67" s="226">
        <f t="shared" si="8"/>
        <v>8.2471643149712612</v>
      </c>
      <c r="AF67" s="312">
        <v>4526</v>
      </c>
      <c r="AG67" s="286">
        <f>AA67*Wirtschaftlichkeit!$I$5/Wirtschaftlichkeit!$I$7</f>
        <v>3.0000000000000004</v>
      </c>
      <c r="AH67" s="284">
        <f t="shared" si="9"/>
        <v>219.00000000000003</v>
      </c>
      <c r="AJ67" s="222">
        <v>4526</v>
      </c>
      <c r="AK67" s="225">
        <f>IF($C67&gt;=Wirtschaftlichkeit!$J$8,Wirtschaftlichkeit!$J$8,IF(AND($C67&lt;=Wirtschaftlichkeit!$J$8,$C67&gt;=Wirtschaftlichkeit!$J$8*Eingabemaske!$B$18),$C67,"0"))</f>
        <v>10.537455322965799</v>
      </c>
      <c r="AL67" s="222">
        <v>4526</v>
      </c>
      <c r="AM67" s="224">
        <f t="shared" si="10"/>
        <v>768.13429928825167</v>
      </c>
      <c r="AN67" s="222">
        <v>4526</v>
      </c>
      <c r="AO67" s="226">
        <f t="shared" si="11"/>
        <v>10.537455322965799</v>
      </c>
      <c r="AP67" s="312">
        <v>4526</v>
      </c>
      <c r="AQ67" s="286">
        <f>AK67*Wirtschaftlichkeit!$J$5/Wirtschaftlichkeit!$J$7</f>
        <v>4</v>
      </c>
      <c r="AR67" s="284">
        <f t="shared" si="12"/>
        <v>291.58246492932523</v>
      </c>
      <c r="AT67" s="222">
        <v>4526</v>
      </c>
      <c r="AU67" s="225">
        <f>IF($C67&gt;=Wirtschaftlichkeit!$K$8,Wirtschaftlichkeit!$K$8,IF(AND($C67&lt;=Wirtschaftlichkeit!$K$8,$C67&gt;=Wirtschaftlichkeit!$K$8*Eingabemaske!$B$18),$C67,"0"))</f>
        <v>10.91718</v>
      </c>
      <c r="AV67" s="222">
        <v>4526</v>
      </c>
      <c r="AW67" s="224">
        <f t="shared" si="13"/>
        <v>781.99425000000008</v>
      </c>
      <c r="AX67" s="222">
        <v>4526</v>
      </c>
      <c r="AY67" s="226">
        <f t="shared" si="14"/>
        <v>10.91718</v>
      </c>
      <c r="AZ67" s="312">
        <v>4526</v>
      </c>
      <c r="BA67" s="286">
        <f>AU67*Wirtschaftlichkeit!$K$5/Wirtschaftlichkeit!$K$7</f>
        <v>4.2849027810108646</v>
      </c>
      <c r="BB67" s="284">
        <f t="shared" si="15"/>
        <v>306.92627002206666</v>
      </c>
      <c r="BD67" s="222">
        <v>4526</v>
      </c>
      <c r="BE67" s="225">
        <f>IF($C67&gt;=Wirtschaftlichkeit!$L$8,Wirtschaftlichkeit!$L$8,IF(AND($C67&lt;=Wirtschaftlichkeit!$L$8,$C67&gt;=Wirtschaftlichkeit!$L$8*Eingabemaske!$B$18),$C67,"0"))</f>
        <v>10.91718</v>
      </c>
      <c r="BF67" s="222">
        <v>4526</v>
      </c>
      <c r="BG67" s="224">
        <f t="shared" si="16"/>
        <v>781.99425000000008</v>
      </c>
      <c r="BH67" s="222">
        <v>4526</v>
      </c>
      <c r="BI67" s="226">
        <f t="shared" si="17"/>
        <v>10.91718</v>
      </c>
      <c r="BJ67" s="312">
        <v>4526</v>
      </c>
      <c r="BK67" s="286">
        <f>BE67*Wirtschaftlichkeit!$L$5/Wirtschaftlichkeit!$L$7</f>
        <v>4.4044890061868127</v>
      </c>
      <c r="BL67" s="284">
        <f t="shared" si="18"/>
        <v>315.4921945984496</v>
      </c>
      <c r="BN67" s="222">
        <v>4526</v>
      </c>
      <c r="BO67" s="225">
        <f>IF($C67&gt;=Wirtschaftlichkeit!$M$8,Wirtschaftlichkeit!$M$8,IF(AND($C67&lt;=Wirtschaftlichkeit!$M$8,$C67&gt;=Wirtschaftlichkeit!$M$8*Eingabemaske!$B$18),$C67,"0"))</f>
        <v>10.91718</v>
      </c>
      <c r="BP67" s="222">
        <v>4526</v>
      </c>
      <c r="BQ67" s="224">
        <f t="shared" si="19"/>
        <v>781.99425000000008</v>
      </c>
      <c r="BR67" s="222">
        <v>4526</v>
      </c>
      <c r="BS67" s="226">
        <f t="shared" si="20"/>
        <v>10.91718</v>
      </c>
      <c r="BT67" s="312">
        <v>4526</v>
      </c>
      <c r="BU67" s="286">
        <f>BO67*Wirtschaftlichkeit!$M$5/Wirtschaftlichkeit!$M$7</f>
        <v>4.5089687057079368</v>
      </c>
      <c r="BV67" s="284">
        <f t="shared" si="21"/>
        <v>322.97604338240723</v>
      </c>
      <c r="BX67" s="222">
        <v>4526</v>
      </c>
      <c r="BY67" s="225">
        <f>IF($C67&gt;=Wirtschaftlichkeit!$N$8,Wirtschaftlichkeit!$N$8,IF(AND($C67&lt;=Wirtschaftlichkeit!$N$8,$C67&gt;=Wirtschaftlichkeit!$N$8*Eingabemaske!$B$18),$C67,"0"))</f>
        <v>10.91718</v>
      </c>
      <c r="BZ67" s="222">
        <v>4526</v>
      </c>
      <c r="CA67" s="224">
        <f t="shared" si="22"/>
        <v>781.99425000000008</v>
      </c>
      <c r="CB67" s="222">
        <v>4526</v>
      </c>
      <c r="CC67" s="226">
        <f t="shared" si="23"/>
        <v>10.91718</v>
      </c>
      <c r="CD67" s="312">
        <v>4526</v>
      </c>
      <c r="CE67" s="286">
        <f>BY67*Wirtschaftlichkeit!$N$5/Wirtschaftlichkeit!$N$7</f>
        <v>4.6020752243285488</v>
      </c>
      <c r="CF67" s="284">
        <f t="shared" si="24"/>
        <v>329.64523471192973</v>
      </c>
      <c r="CH67" s="222">
        <v>4526</v>
      </c>
      <c r="CI67" s="225">
        <f>IF($C67&gt;=Wirtschaftlichkeit!$O$8,Wirtschaftlichkeit!$O$8,IF(AND($C67&lt;=Wirtschaftlichkeit!$O$8,$C67&gt;=Wirtschaftlichkeit!$O$8*Eingabemaske!$B$18),$C67,"0"))</f>
        <v>10.91718</v>
      </c>
      <c r="CJ67" s="222">
        <v>4526</v>
      </c>
      <c r="CK67" s="224">
        <f t="shared" si="25"/>
        <v>781.99425000000008</v>
      </c>
      <c r="CL67" s="222">
        <v>4526</v>
      </c>
      <c r="CM67" s="226">
        <f t="shared" si="26"/>
        <v>10.91718</v>
      </c>
      <c r="CN67" s="312">
        <v>4526</v>
      </c>
      <c r="CO67" s="286">
        <f>CI67*Wirtschaftlichkeit!$O$5/Wirtschaftlichkeit!$O$7</f>
        <v>4.686279823428551</v>
      </c>
      <c r="CP67" s="284">
        <f t="shared" si="27"/>
        <v>335.676784280569</v>
      </c>
      <c r="CR67" s="222">
        <v>4526</v>
      </c>
      <c r="CS67" s="225" t="str">
        <f>IF($C67&gt;=Wirtschaftlichkeit!$P$8,Wirtschaftlichkeit!$P$8,IF(AND($C67&lt;=Wirtschaftlichkeit!$P$8,$C67&gt;=Wirtschaftlichkeit!$P$8*Eingabemaske!$B$18),$C67,"0"))</f>
        <v>0</v>
      </c>
      <c r="CT67" s="222">
        <v>4526</v>
      </c>
      <c r="CU67" s="224">
        <f t="shared" si="28"/>
        <v>0</v>
      </c>
      <c r="CV67" s="222">
        <v>4526</v>
      </c>
      <c r="CW67" s="226" t="str">
        <f t="shared" si="29"/>
        <v xml:space="preserve"> </v>
      </c>
      <c r="CX67" s="312">
        <v>4526</v>
      </c>
      <c r="CY67" s="286">
        <f>CS67*Wirtschaftlichkeit!$P$5/Wirtschaftlichkeit!$P$7</f>
        <v>0</v>
      </c>
      <c r="CZ67" s="284">
        <f t="shared" si="30"/>
        <v>0</v>
      </c>
      <c r="DB67" s="222">
        <v>4526</v>
      </c>
      <c r="DC67" s="225" t="str">
        <f>IF($C67&gt;=Wirtschaftlichkeit!$Q$8,Wirtschaftlichkeit!$Q$8,IF(AND($C67&lt;=Wirtschaftlichkeit!$Q$8,$C67&gt;=Wirtschaftlichkeit!$Q$8*Eingabemaske!$B$18),$C67,"0"))</f>
        <v>0</v>
      </c>
      <c r="DD67" s="222">
        <v>4526</v>
      </c>
      <c r="DE67" s="224">
        <f t="shared" si="31"/>
        <v>0</v>
      </c>
      <c r="DF67" s="222">
        <v>4526</v>
      </c>
      <c r="DG67" s="226" t="str">
        <f t="shared" si="32"/>
        <v xml:space="preserve"> </v>
      </c>
      <c r="DH67" s="312">
        <v>4526</v>
      </c>
      <c r="DI67" s="286">
        <f>DC67*Wirtschaftlichkeit!$Q$5/Wirtschaftlichkeit!$Q$7</f>
        <v>0</v>
      </c>
      <c r="DJ67" s="284">
        <f t="shared" si="33"/>
        <v>0</v>
      </c>
      <c r="DL67" s="222">
        <v>4526</v>
      </c>
      <c r="DM67" s="225" t="str">
        <f>IF($C67&gt;=Wirtschaftlichkeit!$R$8,Wirtschaftlichkeit!$R$8,IF(AND($C67&lt;=Wirtschaftlichkeit!$R$8,$C67&gt;=Wirtschaftlichkeit!$R$8*Eingabemaske!$B$18),$C67,"0"))</f>
        <v>0</v>
      </c>
      <c r="DN67" s="222">
        <v>4526</v>
      </c>
      <c r="DO67" s="224">
        <f t="shared" si="34"/>
        <v>0</v>
      </c>
      <c r="DP67" s="222">
        <v>4526</v>
      </c>
      <c r="DQ67" s="226" t="str">
        <f t="shared" si="35"/>
        <v xml:space="preserve"> </v>
      </c>
      <c r="DR67" s="312">
        <v>4526</v>
      </c>
      <c r="DS67" s="286">
        <f>DM67*Wirtschaftlichkeit!$R$5/Wirtschaftlichkeit!$R$7</f>
        <v>0</v>
      </c>
      <c r="DT67" s="284">
        <f t="shared" si="36"/>
        <v>0</v>
      </c>
      <c r="DV67" s="222">
        <v>4526</v>
      </c>
      <c r="DW67" s="225" t="str">
        <f>IF($C67&gt;=Wirtschaftlichkeit!$S$8,Wirtschaftlichkeit!$S$8,IF(AND($C67&lt;=Wirtschaftlichkeit!$S$8,$C67&gt;=Wirtschaftlichkeit!$S$8*Eingabemaske!$B$18),$C67,"0"))</f>
        <v>0</v>
      </c>
      <c r="DX67" s="222">
        <v>4526</v>
      </c>
      <c r="DY67" s="224">
        <f t="shared" si="37"/>
        <v>0</v>
      </c>
      <c r="DZ67" s="222">
        <v>4526</v>
      </c>
      <c r="EA67" s="226" t="str">
        <f t="shared" si="38"/>
        <v xml:space="preserve"> </v>
      </c>
      <c r="EB67" s="312">
        <v>4526</v>
      </c>
      <c r="EC67" s="286">
        <f>DW67*Wirtschaftlichkeit!$S$5/Wirtschaftlichkeit!$S$7</f>
        <v>0</v>
      </c>
      <c r="ED67" s="284">
        <f t="shared" si="39"/>
        <v>0</v>
      </c>
      <c r="EF67" s="222">
        <v>4526</v>
      </c>
      <c r="EG67" s="225" t="str">
        <f>IF($C67&gt;=Wirtschaftlichkeit!$T$8,Wirtschaftlichkeit!$T$8,IF(AND($C67&lt;=Wirtschaftlichkeit!$T$8,$C67&gt;=Wirtschaftlichkeit!$T$8*Eingabemaske!$B$18),$C67,"0"))</f>
        <v>0</v>
      </c>
      <c r="EH67" s="222">
        <v>4526</v>
      </c>
      <c r="EI67" s="224">
        <f t="shared" si="40"/>
        <v>0</v>
      </c>
      <c r="EJ67" s="222">
        <v>4526</v>
      </c>
      <c r="EK67" s="226" t="str">
        <f t="shared" si="41"/>
        <v xml:space="preserve"> </v>
      </c>
      <c r="EL67" s="312">
        <v>4526</v>
      </c>
      <c r="EM67" s="286">
        <f>EG67*Wirtschaftlichkeit!$T$5/Wirtschaftlichkeit!$T$7</f>
        <v>0</v>
      </c>
      <c r="EN67" s="284">
        <f t="shared" si="42"/>
        <v>0</v>
      </c>
      <c r="EP67" s="222">
        <v>4526</v>
      </c>
      <c r="EQ67" s="225" t="str">
        <f>IF($C67&gt;=Wirtschaftlichkeit!$U$8,Wirtschaftlichkeit!$U$8,IF(AND($C67&lt;=Wirtschaftlichkeit!$U$8,$C67&gt;=Wirtschaftlichkeit!$U$8*Eingabemaske!$B$18),$C67,"0"))</f>
        <v>0</v>
      </c>
      <c r="ER67" s="222">
        <v>4526</v>
      </c>
      <c r="ES67" s="224">
        <f t="shared" si="43"/>
        <v>0</v>
      </c>
      <c r="ET67" s="222">
        <v>4526</v>
      </c>
      <c r="EU67" s="226" t="str">
        <f t="shared" si="44"/>
        <v xml:space="preserve"> </v>
      </c>
      <c r="EV67" s="312">
        <v>4526</v>
      </c>
      <c r="EW67" s="286">
        <f>EQ67*Wirtschaftlichkeit!$U$5/Wirtschaftlichkeit!$U$7</f>
        <v>0</v>
      </c>
      <c r="EX67" s="284">
        <f t="shared" si="45"/>
        <v>0</v>
      </c>
      <c r="EZ67" s="222">
        <v>4526</v>
      </c>
      <c r="FA67" s="225" t="str">
        <f>IF($C67&gt;=Wirtschaftlichkeit!$V$8,Wirtschaftlichkeit!$V$8,IF(AND($C67&lt;=Wirtschaftlichkeit!$V$8,$C67&gt;=Wirtschaftlichkeit!$V$8*Eingabemaske!$B$18),$C67,"0"))</f>
        <v>0</v>
      </c>
      <c r="FB67" s="222">
        <v>4526</v>
      </c>
      <c r="FC67" s="224">
        <f t="shared" si="46"/>
        <v>0</v>
      </c>
      <c r="FD67" s="222">
        <v>4526</v>
      </c>
      <c r="FE67" s="226" t="str">
        <f t="shared" si="47"/>
        <v xml:space="preserve"> </v>
      </c>
      <c r="FF67" s="312">
        <v>4526</v>
      </c>
      <c r="FG67" s="286">
        <f>FA67*Wirtschaftlichkeit!$V$5/Wirtschaftlichkeit!$V$7</f>
        <v>0</v>
      </c>
      <c r="FH67" s="284">
        <f t="shared" si="48"/>
        <v>0</v>
      </c>
      <c r="FJ67" s="222">
        <v>4526</v>
      </c>
      <c r="FK67" s="225" t="str">
        <f>IF($C67&gt;=Wirtschaftlichkeit!$W$8,Wirtschaftlichkeit!$W$8,IF(AND($C67&lt;=Wirtschaftlichkeit!$W$8,$C67&gt;=Wirtschaftlichkeit!$W$8*Eingabemaske!$B$18),$C67,"0"))</f>
        <v>0</v>
      </c>
      <c r="FL67" s="222">
        <v>4526</v>
      </c>
      <c r="FM67" s="224">
        <f t="shared" si="49"/>
        <v>0</v>
      </c>
      <c r="FN67" s="222">
        <v>4526</v>
      </c>
      <c r="FO67" s="226" t="str">
        <f t="shared" si="50"/>
        <v xml:space="preserve"> </v>
      </c>
      <c r="FP67" s="312">
        <v>4526</v>
      </c>
      <c r="FQ67" s="286">
        <f>FK67*Wirtschaftlichkeit!$W$5/Wirtschaftlichkeit!$W$7</f>
        <v>0</v>
      </c>
      <c r="FR67" s="284">
        <f t="shared" si="51"/>
        <v>0</v>
      </c>
      <c r="FT67" s="222">
        <v>4526</v>
      </c>
      <c r="FU67" s="225" t="str">
        <f>IF($C67&gt;=Wirtschaftlichkeit!$X$8,Wirtschaftlichkeit!$X$8,IF(AND($C67&lt;=Wirtschaftlichkeit!$X$8,$C67&gt;=Wirtschaftlichkeit!$X$8*Eingabemaske!$B$18),$C67,"0"))</f>
        <v>0</v>
      </c>
      <c r="FV67" s="222">
        <v>4526</v>
      </c>
      <c r="FW67" s="224">
        <f t="shared" si="52"/>
        <v>0</v>
      </c>
      <c r="FX67" s="222">
        <v>4526</v>
      </c>
      <c r="FY67" s="226" t="str">
        <f t="shared" si="53"/>
        <v xml:space="preserve"> </v>
      </c>
      <c r="FZ67" s="312">
        <v>4526</v>
      </c>
      <c r="GA67" s="286">
        <f>FU67*Wirtschaftlichkeit!$X$5/Wirtschaftlichkeit!$X$7</f>
        <v>0</v>
      </c>
      <c r="GB67" s="284">
        <f t="shared" si="54"/>
        <v>0</v>
      </c>
      <c r="GD67" s="222">
        <v>4526</v>
      </c>
      <c r="GE67" s="225" t="str">
        <f>IF($C67&gt;=Wirtschaftlichkeit!$Y$8,Wirtschaftlichkeit!$Y$8,IF(AND($C67&lt;=Wirtschaftlichkeit!$Y$8,$C67&gt;=Wirtschaftlichkeit!$Y$8*Eingabemaske!$B$18),$C67,"0"))</f>
        <v>0</v>
      </c>
      <c r="GF67" s="222">
        <v>4526</v>
      </c>
      <c r="GG67" s="224">
        <f t="shared" si="55"/>
        <v>0</v>
      </c>
      <c r="GH67" s="222">
        <v>4526</v>
      </c>
      <c r="GI67" s="226" t="str">
        <f t="shared" si="56"/>
        <v xml:space="preserve"> </v>
      </c>
      <c r="GJ67" s="312">
        <v>4526</v>
      </c>
      <c r="GK67" s="286">
        <f>GE67*Wirtschaftlichkeit!$Y$5/Wirtschaftlichkeit!$Y$7</f>
        <v>0</v>
      </c>
      <c r="GL67" s="284">
        <f t="shared" si="57"/>
        <v>0</v>
      </c>
      <c r="GN67" s="222">
        <v>4526</v>
      </c>
      <c r="GO67" s="225" t="str">
        <f>IF($C67&gt;=Wirtschaftlichkeit!$Z$8,Wirtschaftlichkeit!$Z$8,IF(AND($C67&lt;=Wirtschaftlichkeit!$Z$8,$C67&gt;=Wirtschaftlichkeit!$Z$8*Eingabemaske!$B$18),$C67,"0"))</f>
        <v>0</v>
      </c>
      <c r="GP67" s="222">
        <v>4526</v>
      </c>
      <c r="GQ67" s="224">
        <f t="shared" si="58"/>
        <v>0</v>
      </c>
      <c r="GR67" s="222">
        <v>4526</v>
      </c>
      <c r="GS67" s="226" t="str">
        <f t="shared" si="59"/>
        <v xml:space="preserve"> </v>
      </c>
      <c r="GT67" s="312">
        <v>4526</v>
      </c>
      <c r="GU67" s="286">
        <f>GO67*Wirtschaftlichkeit!$Z$5/Wirtschaftlichkeit!$Z$7</f>
        <v>0</v>
      </c>
      <c r="GV67" s="284">
        <f t="shared" si="60"/>
        <v>0</v>
      </c>
      <c r="GW67" s="266"/>
      <c r="GX67" s="258">
        <v>4526</v>
      </c>
      <c r="GY67" s="270">
        <f>IF(Berechnung_Diagramme!$C$28=Berechnungen_Lastgang!$F$2,Berechnungen_Lastgang!G67,IF(Berechnung_Diagramme!$C$28=Berechnungen_Lastgang!$P$2,Berechnungen_Lastgang!Q67,IF(Berechnung_Diagramme!$C$28=Berechnungen_Lastgang!$Z$2,Berechnungen_Lastgang!AA67,IF(Berechnung_Diagramme!$C$28=Berechnungen_Lastgang!$AJ$2,Berechnungen_Lastgang!AK67,IF(Berechnung_Diagramme!$C$28=Berechnungen_Lastgang!$AT$2,Berechnungen_Lastgang!AU67,IF(Berechnung_Diagramme!$C$28=Berechnungen_Lastgang!$BD$2,Berechnungen_Lastgang!BE67,IF(Berechnung_Diagramme!$C$28=Berechnungen_Lastgang!$BN$2,Berechnungen_Lastgang!BO67,IF(Berechnung_Diagramme!$C$28=Berechnungen_Lastgang!$BX$2,Berechnungen_Lastgang!BY67,IF(Berechnung_Diagramme!$C$28=Berechnungen_Lastgang!$CH$2,Berechnungen_Lastgang!CI67,IF(Berechnung_Diagramme!$C$28=Berechnungen_Lastgang!$CR$2,Berechnungen_Lastgang!CS67,IF(Berechnung_Diagramme!$C$28=Berechnungen_Lastgang!$DB$2,Berechnungen_Lastgang!DC67,IF(Berechnung_Diagramme!$C$28=Berechnungen_Lastgang!$DL$2,Berechnungen_Lastgang!DM67,IF(Berechnung_Diagramme!$C$28=Berechnungen_Lastgang!$DV$2,Berechnungen_Lastgang!DW67,IF(Berechnung_Diagramme!$C$28=Berechnungen_Lastgang!$EF$2,Berechnungen_Lastgang!EG67,IF(Berechnung_Diagramme!$C$28=Berechnungen_Lastgang!$EP$2,Berechnungen_Lastgang!EQ67,IF(Berechnung_Diagramme!$C$28=Berechnungen_Lastgang!$EZ$2,Berechnungen_Lastgang!FA67,IF(Berechnung_Diagramme!$C$28=Berechnungen_Lastgang!$FJ$2,Berechnungen_Lastgang!FK67,IF(Berechnung_Diagramme!$C$28=Berechnungen_Lastgang!$FT$2,Berechnungen_Lastgang!FU67,IF(Berechnung_Diagramme!$C$28=Berechnungen_Lastgang!$GD$2,Berechnungen_Lastgang!GE67,IF(Berechnung_Diagramme!$C$28=Berechnungen_Lastgang!$GN$2,Berechnungen_Lastgang!GO67,""))))))))))))))))))))</f>
        <v>10.91718</v>
      </c>
    </row>
    <row r="68" spans="2:207" x14ac:dyDescent="0.25">
      <c r="B68" s="64">
        <v>4599</v>
      </c>
      <c r="C68" s="67">
        <f>C67+((C70-C67)/(B70-B67))*(B68-B67)</f>
        <v>10.50732</v>
      </c>
      <c r="D68" s="66">
        <f t="shared" si="61"/>
        <v>752.07446999999991</v>
      </c>
      <c r="F68" s="64">
        <v>4599</v>
      </c>
      <c r="G68" s="225">
        <f>IF($C68&gt;=Wirtschaftlichkeit!$G$8,Wirtschaftlichkeit!$G$8,IF(AND($C68&lt;=Wirtschaftlichkeit!$G$8,$C68&gt;=Wirtschaftlichkeit!$G$8*Eingabemaske!$B$18),$C68,"0"))</f>
        <v>2.8333333333333335</v>
      </c>
      <c r="H68" s="64">
        <v>4599</v>
      </c>
      <c r="I68" s="66">
        <f t="shared" si="62"/>
        <v>206.83333333333334</v>
      </c>
      <c r="J68" s="64">
        <v>4599</v>
      </c>
      <c r="K68" s="71">
        <f t="shared" si="63"/>
        <v>2.8333333333333335</v>
      </c>
      <c r="L68" s="312">
        <v>4599</v>
      </c>
      <c r="M68" s="286">
        <f>G68*Wirtschaftlichkeit!$G$5/Wirtschaftlichkeit!$G$7</f>
        <v>1</v>
      </c>
      <c r="N68" s="284">
        <f t="shared" si="3"/>
        <v>73</v>
      </c>
      <c r="P68" s="222">
        <v>4599</v>
      </c>
      <c r="Q68" s="225">
        <f>IF($C68&gt;=Wirtschaftlichkeit!$H$8,Wirtschaftlichkeit!$H$8,IF(AND($C68&lt;=Wirtschaftlichkeit!$H$8,$C68&gt;=Wirtschaftlichkeit!$H$8*Eingabemaske!$B$18),$C68,"0"))</f>
        <v>5.5876288659793811</v>
      </c>
      <c r="R68" s="222">
        <v>4599</v>
      </c>
      <c r="S68" s="224">
        <f t="shared" si="4"/>
        <v>407.89690721649481</v>
      </c>
      <c r="T68" s="222">
        <v>4599</v>
      </c>
      <c r="U68" s="226">
        <f t="shared" si="5"/>
        <v>5.5876288659793811</v>
      </c>
      <c r="V68" s="312">
        <v>4599</v>
      </c>
      <c r="W68" s="286">
        <f>Q68*Wirtschaftlichkeit!$H$5/Wirtschaftlichkeit!$H$7</f>
        <v>2</v>
      </c>
      <c r="X68" s="284">
        <f t="shared" si="6"/>
        <v>146</v>
      </c>
      <c r="Z68" s="222">
        <v>4599</v>
      </c>
      <c r="AA68" s="225">
        <f>IF($C68&gt;=Wirtschaftlichkeit!$I$8,Wirtschaftlichkeit!$I$8,IF(AND($C68&lt;=Wirtschaftlichkeit!$I$8,$C68&gt;=Wirtschaftlichkeit!$I$8*Eingabemaske!$B$18),$C68,"0"))</f>
        <v>8.2471643149712612</v>
      </c>
      <c r="AB68" s="222">
        <v>4599</v>
      </c>
      <c r="AC68" s="224">
        <f t="shared" si="7"/>
        <v>602.04299499290209</v>
      </c>
      <c r="AD68" s="222">
        <v>4599</v>
      </c>
      <c r="AE68" s="226">
        <f t="shared" si="8"/>
        <v>8.2471643149712612</v>
      </c>
      <c r="AF68" s="312">
        <v>4599</v>
      </c>
      <c r="AG68" s="286">
        <f>AA68*Wirtschaftlichkeit!$I$5/Wirtschaftlichkeit!$I$7</f>
        <v>3.0000000000000004</v>
      </c>
      <c r="AH68" s="284">
        <f t="shared" si="9"/>
        <v>219.00000000000003</v>
      </c>
      <c r="AJ68" s="222">
        <v>4599</v>
      </c>
      <c r="AK68" s="225">
        <f>IF($C68&gt;=Wirtschaftlichkeit!$J$8,Wirtschaftlichkeit!$J$8,IF(AND($C68&lt;=Wirtschaftlichkeit!$J$8,$C68&gt;=Wirtschaftlichkeit!$J$8*Eingabemaske!$B$18),$C68,"0"))</f>
        <v>10.50732</v>
      </c>
      <c r="AL68" s="222">
        <v>4599</v>
      </c>
      <c r="AM68" s="224">
        <f t="shared" si="10"/>
        <v>752.07446999999991</v>
      </c>
      <c r="AN68" s="222">
        <v>4599</v>
      </c>
      <c r="AO68" s="226">
        <f t="shared" si="11"/>
        <v>10.50732</v>
      </c>
      <c r="AP68" s="312">
        <v>4599</v>
      </c>
      <c r="AQ68" s="286">
        <f>AK68*Wirtschaftlichkeit!$J$5/Wirtschaftlichkeit!$J$7</f>
        <v>3.9885606829952116</v>
      </c>
      <c r="AR68" s="284">
        <f t="shared" si="12"/>
        <v>285.4861812266555</v>
      </c>
      <c r="AT68" s="222">
        <v>4599</v>
      </c>
      <c r="AU68" s="225">
        <f>IF($C68&gt;=Wirtschaftlichkeit!$K$8,Wirtschaftlichkeit!$K$8,IF(AND($C68&lt;=Wirtschaftlichkeit!$K$8,$C68&gt;=Wirtschaftlichkeit!$K$8*Eingabemaske!$B$18),$C68,"0"))</f>
        <v>10.50732</v>
      </c>
      <c r="AV68" s="222">
        <v>4599</v>
      </c>
      <c r="AW68" s="224">
        <f t="shared" si="13"/>
        <v>752.07446999999991</v>
      </c>
      <c r="AX68" s="222">
        <v>4599</v>
      </c>
      <c r="AY68" s="226">
        <f t="shared" si="14"/>
        <v>10.50732</v>
      </c>
      <c r="AZ68" s="312">
        <v>4599</v>
      </c>
      <c r="BA68" s="286">
        <f>AU68*Wirtschaftlichkeit!$K$5/Wirtschaftlichkeit!$K$7</f>
        <v>4.1240361237032896</v>
      </c>
      <c r="BB68" s="284">
        <f t="shared" si="15"/>
        <v>295.1830040386136</v>
      </c>
      <c r="BD68" s="222">
        <v>4599</v>
      </c>
      <c r="BE68" s="225">
        <f>IF($C68&gt;=Wirtschaftlichkeit!$L$8,Wirtschaftlichkeit!$L$8,IF(AND($C68&lt;=Wirtschaftlichkeit!$L$8,$C68&gt;=Wirtschaftlichkeit!$L$8*Eingabemaske!$B$18),$C68,"0"))</f>
        <v>10.50732</v>
      </c>
      <c r="BF68" s="222">
        <v>4599</v>
      </c>
      <c r="BG68" s="224">
        <f t="shared" si="16"/>
        <v>752.07446999999991</v>
      </c>
      <c r="BH68" s="222">
        <v>4599</v>
      </c>
      <c r="BI68" s="226">
        <f t="shared" si="17"/>
        <v>10.50732</v>
      </c>
      <c r="BJ68" s="312">
        <v>4599</v>
      </c>
      <c r="BK68" s="286">
        <f>BE68*Wirtschaftlichkeit!$L$5/Wirtschaftlichkeit!$L$7</f>
        <v>4.2391327636337239</v>
      </c>
      <c r="BL68" s="284">
        <f t="shared" si="18"/>
        <v>303.4211888920741</v>
      </c>
      <c r="BN68" s="222">
        <v>4599</v>
      </c>
      <c r="BO68" s="225">
        <f>IF($C68&gt;=Wirtschaftlichkeit!$M$8,Wirtschaftlichkeit!$M$8,IF(AND($C68&lt;=Wirtschaftlichkeit!$M$8,$C68&gt;=Wirtschaftlichkeit!$M$8*Eingabemaske!$B$18),$C68,"0"))</f>
        <v>10.50732</v>
      </c>
      <c r="BP68" s="222">
        <v>4599</v>
      </c>
      <c r="BQ68" s="224">
        <f t="shared" si="19"/>
        <v>752.07446999999991</v>
      </c>
      <c r="BR68" s="222">
        <v>4599</v>
      </c>
      <c r="BS68" s="226">
        <f t="shared" si="20"/>
        <v>10.50732</v>
      </c>
      <c r="BT68" s="312">
        <v>4599</v>
      </c>
      <c r="BU68" s="286">
        <f>BO68*Wirtschaftlichkeit!$M$5/Wirtschaftlichkeit!$M$7</f>
        <v>4.339690017097741</v>
      </c>
      <c r="BV68" s="284">
        <f t="shared" si="21"/>
        <v>310.61869911386299</v>
      </c>
      <c r="BX68" s="222">
        <v>4599</v>
      </c>
      <c r="BY68" s="225">
        <f>IF($C68&gt;=Wirtschaftlichkeit!$N$8,Wirtschaftlichkeit!$N$8,IF(AND($C68&lt;=Wirtschaftlichkeit!$N$8,$C68&gt;=Wirtschaftlichkeit!$N$8*Eingabemaske!$B$18),$C68,"0"))</f>
        <v>10.50732</v>
      </c>
      <c r="BZ68" s="222">
        <v>4599</v>
      </c>
      <c r="CA68" s="224">
        <f t="shared" si="22"/>
        <v>752.07446999999991</v>
      </c>
      <c r="CB68" s="222">
        <v>4599</v>
      </c>
      <c r="CC68" s="226">
        <f t="shared" si="23"/>
        <v>10.50732</v>
      </c>
      <c r="CD68" s="312">
        <v>4599</v>
      </c>
      <c r="CE68" s="286">
        <f>BY68*Wirtschaftlichkeit!$N$5/Wirtschaftlichkeit!$N$7</f>
        <v>4.4293010691489778</v>
      </c>
      <c r="CF68" s="284">
        <f t="shared" si="24"/>
        <v>317.03272138382113</v>
      </c>
      <c r="CH68" s="222">
        <v>4599</v>
      </c>
      <c r="CI68" s="225">
        <f>IF($C68&gt;=Wirtschaftlichkeit!$O$8,Wirtschaftlichkeit!$O$8,IF(AND($C68&lt;=Wirtschaftlichkeit!$O$8,$C68&gt;=Wirtschaftlichkeit!$O$8*Eingabemaske!$B$18),$C68,"0"))</f>
        <v>10.50732</v>
      </c>
      <c r="CJ68" s="222">
        <v>4599</v>
      </c>
      <c r="CK68" s="224">
        <f t="shared" si="25"/>
        <v>383.51718</v>
      </c>
      <c r="CL68" s="222">
        <v>4599</v>
      </c>
      <c r="CM68" s="226">
        <f t="shared" si="26"/>
        <v>10.50732</v>
      </c>
      <c r="CN68" s="312">
        <v>4599</v>
      </c>
      <c r="CO68" s="286">
        <f>CI68*Wirtschaftlichkeit!$O$5/Wirtschaftlichkeit!$O$7</f>
        <v>4.5103444034363527</v>
      </c>
      <c r="CP68" s="284">
        <f t="shared" si="27"/>
        <v>164.62757072542686</v>
      </c>
      <c r="CR68" s="222">
        <v>4599</v>
      </c>
      <c r="CS68" s="225" t="str">
        <f>IF($C68&gt;=Wirtschaftlichkeit!$P$8,Wirtschaftlichkeit!$P$8,IF(AND($C68&lt;=Wirtschaftlichkeit!$P$8,$C68&gt;=Wirtschaftlichkeit!$P$8*Eingabemaske!$B$18),$C68,"0"))</f>
        <v>0</v>
      </c>
      <c r="CT68" s="222">
        <v>4599</v>
      </c>
      <c r="CU68" s="224">
        <f t="shared" si="28"/>
        <v>0</v>
      </c>
      <c r="CV68" s="222">
        <v>4599</v>
      </c>
      <c r="CW68" s="226" t="str">
        <f t="shared" si="29"/>
        <v xml:space="preserve"> </v>
      </c>
      <c r="CX68" s="312">
        <v>4599</v>
      </c>
      <c r="CY68" s="286">
        <f>CS68*Wirtschaftlichkeit!$P$5/Wirtschaftlichkeit!$P$7</f>
        <v>0</v>
      </c>
      <c r="CZ68" s="284">
        <f t="shared" si="30"/>
        <v>0</v>
      </c>
      <c r="DB68" s="222">
        <v>4599</v>
      </c>
      <c r="DC68" s="225" t="str">
        <f>IF($C68&gt;=Wirtschaftlichkeit!$Q$8,Wirtschaftlichkeit!$Q$8,IF(AND($C68&lt;=Wirtschaftlichkeit!$Q$8,$C68&gt;=Wirtschaftlichkeit!$Q$8*Eingabemaske!$B$18),$C68,"0"))</f>
        <v>0</v>
      </c>
      <c r="DD68" s="222">
        <v>4599</v>
      </c>
      <c r="DE68" s="224">
        <f t="shared" si="31"/>
        <v>0</v>
      </c>
      <c r="DF68" s="222">
        <v>4599</v>
      </c>
      <c r="DG68" s="226" t="str">
        <f t="shared" si="32"/>
        <v xml:space="preserve"> </v>
      </c>
      <c r="DH68" s="312">
        <v>4599</v>
      </c>
      <c r="DI68" s="286">
        <f>DC68*Wirtschaftlichkeit!$Q$5/Wirtschaftlichkeit!$Q$7</f>
        <v>0</v>
      </c>
      <c r="DJ68" s="284">
        <f t="shared" si="33"/>
        <v>0</v>
      </c>
      <c r="DL68" s="222">
        <v>4599</v>
      </c>
      <c r="DM68" s="225" t="str">
        <f>IF($C68&gt;=Wirtschaftlichkeit!$R$8,Wirtschaftlichkeit!$R$8,IF(AND($C68&lt;=Wirtschaftlichkeit!$R$8,$C68&gt;=Wirtschaftlichkeit!$R$8*Eingabemaske!$B$18),$C68,"0"))</f>
        <v>0</v>
      </c>
      <c r="DN68" s="222">
        <v>4599</v>
      </c>
      <c r="DO68" s="224">
        <f t="shared" si="34"/>
        <v>0</v>
      </c>
      <c r="DP68" s="222">
        <v>4599</v>
      </c>
      <c r="DQ68" s="226" t="str">
        <f t="shared" si="35"/>
        <v xml:space="preserve"> </v>
      </c>
      <c r="DR68" s="312">
        <v>4599</v>
      </c>
      <c r="DS68" s="286">
        <f>DM68*Wirtschaftlichkeit!$R$5/Wirtschaftlichkeit!$R$7</f>
        <v>0</v>
      </c>
      <c r="DT68" s="284">
        <f t="shared" si="36"/>
        <v>0</v>
      </c>
      <c r="DV68" s="222">
        <v>4599</v>
      </c>
      <c r="DW68" s="225" t="str">
        <f>IF($C68&gt;=Wirtschaftlichkeit!$S$8,Wirtschaftlichkeit!$S$8,IF(AND($C68&lt;=Wirtschaftlichkeit!$S$8,$C68&gt;=Wirtschaftlichkeit!$S$8*Eingabemaske!$B$18),$C68,"0"))</f>
        <v>0</v>
      </c>
      <c r="DX68" s="222">
        <v>4599</v>
      </c>
      <c r="DY68" s="224">
        <f t="shared" si="37"/>
        <v>0</v>
      </c>
      <c r="DZ68" s="222">
        <v>4599</v>
      </c>
      <c r="EA68" s="226" t="str">
        <f t="shared" si="38"/>
        <v xml:space="preserve"> </v>
      </c>
      <c r="EB68" s="312">
        <v>4599</v>
      </c>
      <c r="EC68" s="286">
        <f>DW68*Wirtschaftlichkeit!$S$5/Wirtschaftlichkeit!$S$7</f>
        <v>0</v>
      </c>
      <c r="ED68" s="284">
        <f t="shared" si="39"/>
        <v>0</v>
      </c>
      <c r="EF68" s="222">
        <v>4599</v>
      </c>
      <c r="EG68" s="225" t="str">
        <f>IF($C68&gt;=Wirtschaftlichkeit!$T$8,Wirtschaftlichkeit!$T$8,IF(AND($C68&lt;=Wirtschaftlichkeit!$T$8,$C68&gt;=Wirtschaftlichkeit!$T$8*Eingabemaske!$B$18),$C68,"0"))</f>
        <v>0</v>
      </c>
      <c r="EH68" s="222">
        <v>4599</v>
      </c>
      <c r="EI68" s="224">
        <f t="shared" si="40"/>
        <v>0</v>
      </c>
      <c r="EJ68" s="222">
        <v>4599</v>
      </c>
      <c r="EK68" s="226" t="str">
        <f t="shared" si="41"/>
        <v xml:space="preserve"> </v>
      </c>
      <c r="EL68" s="312">
        <v>4599</v>
      </c>
      <c r="EM68" s="286">
        <f>EG68*Wirtschaftlichkeit!$T$5/Wirtschaftlichkeit!$T$7</f>
        <v>0</v>
      </c>
      <c r="EN68" s="284">
        <f t="shared" si="42"/>
        <v>0</v>
      </c>
      <c r="EP68" s="222">
        <v>4599</v>
      </c>
      <c r="EQ68" s="225" t="str">
        <f>IF($C68&gt;=Wirtschaftlichkeit!$U$8,Wirtschaftlichkeit!$U$8,IF(AND($C68&lt;=Wirtschaftlichkeit!$U$8,$C68&gt;=Wirtschaftlichkeit!$U$8*Eingabemaske!$B$18),$C68,"0"))</f>
        <v>0</v>
      </c>
      <c r="ER68" s="222">
        <v>4599</v>
      </c>
      <c r="ES68" s="224">
        <f t="shared" si="43"/>
        <v>0</v>
      </c>
      <c r="ET68" s="222">
        <v>4599</v>
      </c>
      <c r="EU68" s="226" t="str">
        <f t="shared" si="44"/>
        <v xml:space="preserve"> </v>
      </c>
      <c r="EV68" s="312">
        <v>4599</v>
      </c>
      <c r="EW68" s="286">
        <f>EQ68*Wirtschaftlichkeit!$U$5/Wirtschaftlichkeit!$U$7</f>
        <v>0</v>
      </c>
      <c r="EX68" s="284">
        <f t="shared" si="45"/>
        <v>0</v>
      </c>
      <c r="EZ68" s="222">
        <v>4599</v>
      </c>
      <c r="FA68" s="225" t="str">
        <f>IF($C68&gt;=Wirtschaftlichkeit!$V$8,Wirtschaftlichkeit!$V$8,IF(AND($C68&lt;=Wirtschaftlichkeit!$V$8,$C68&gt;=Wirtschaftlichkeit!$V$8*Eingabemaske!$B$18),$C68,"0"))</f>
        <v>0</v>
      </c>
      <c r="FB68" s="222">
        <v>4599</v>
      </c>
      <c r="FC68" s="224">
        <f t="shared" si="46"/>
        <v>0</v>
      </c>
      <c r="FD68" s="222">
        <v>4599</v>
      </c>
      <c r="FE68" s="226" t="str">
        <f t="shared" si="47"/>
        <v xml:space="preserve"> </v>
      </c>
      <c r="FF68" s="312">
        <v>4599</v>
      </c>
      <c r="FG68" s="286">
        <f>FA68*Wirtschaftlichkeit!$V$5/Wirtschaftlichkeit!$V$7</f>
        <v>0</v>
      </c>
      <c r="FH68" s="284">
        <f t="shared" si="48"/>
        <v>0</v>
      </c>
      <c r="FJ68" s="222">
        <v>4599</v>
      </c>
      <c r="FK68" s="225" t="str">
        <f>IF($C68&gt;=Wirtschaftlichkeit!$W$8,Wirtschaftlichkeit!$W$8,IF(AND($C68&lt;=Wirtschaftlichkeit!$W$8,$C68&gt;=Wirtschaftlichkeit!$W$8*Eingabemaske!$B$18),$C68,"0"))</f>
        <v>0</v>
      </c>
      <c r="FL68" s="222">
        <v>4599</v>
      </c>
      <c r="FM68" s="224">
        <f t="shared" si="49"/>
        <v>0</v>
      </c>
      <c r="FN68" s="222">
        <v>4599</v>
      </c>
      <c r="FO68" s="226" t="str">
        <f t="shared" si="50"/>
        <v xml:space="preserve"> </v>
      </c>
      <c r="FP68" s="312">
        <v>4599</v>
      </c>
      <c r="FQ68" s="286">
        <f>FK68*Wirtschaftlichkeit!$W$5/Wirtschaftlichkeit!$W$7</f>
        <v>0</v>
      </c>
      <c r="FR68" s="284">
        <f t="shared" si="51"/>
        <v>0</v>
      </c>
      <c r="FT68" s="222">
        <v>4599</v>
      </c>
      <c r="FU68" s="225" t="str">
        <f>IF($C68&gt;=Wirtschaftlichkeit!$X$8,Wirtschaftlichkeit!$X$8,IF(AND($C68&lt;=Wirtschaftlichkeit!$X$8,$C68&gt;=Wirtschaftlichkeit!$X$8*Eingabemaske!$B$18),$C68,"0"))</f>
        <v>0</v>
      </c>
      <c r="FV68" s="222">
        <v>4599</v>
      </c>
      <c r="FW68" s="224">
        <f t="shared" si="52"/>
        <v>0</v>
      </c>
      <c r="FX68" s="222">
        <v>4599</v>
      </c>
      <c r="FY68" s="226" t="str">
        <f t="shared" si="53"/>
        <v xml:space="preserve"> </v>
      </c>
      <c r="FZ68" s="312">
        <v>4599</v>
      </c>
      <c r="GA68" s="286">
        <f>FU68*Wirtschaftlichkeit!$X$5/Wirtschaftlichkeit!$X$7</f>
        <v>0</v>
      </c>
      <c r="GB68" s="284">
        <f t="shared" si="54"/>
        <v>0</v>
      </c>
      <c r="GD68" s="222">
        <v>4599</v>
      </c>
      <c r="GE68" s="225" t="str">
        <f>IF($C68&gt;=Wirtschaftlichkeit!$Y$8,Wirtschaftlichkeit!$Y$8,IF(AND($C68&lt;=Wirtschaftlichkeit!$Y$8,$C68&gt;=Wirtschaftlichkeit!$Y$8*Eingabemaske!$B$18),$C68,"0"))</f>
        <v>0</v>
      </c>
      <c r="GF68" s="222">
        <v>4599</v>
      </c>
      <c r="GG68" s="224">
        <f t="shared" si="55"/>
        <v>0</v>
      </c>
      <c r="GH68" s="222">
        <v>4599</v>
      </c>
      <c r="GI68" s="226" t="str">
        <f t="shared" si="56"/>
        <v xml:space="preserve"> </v>
      </c>
      <c r="GJ68" s="312">
        <v>4599</v>
      </c>
      <c r="GK68" s="286">
        <f>GE68*Wirtschaftlichkeit!$Y$5/Wirtschaftlichkeit!$Y$7</f>
        <v>0</v>
      </c>
      <c r="GL68" s="284">
        <f t="shared" si="57"/>
        <v>0</v>
      </c>
      <c r="GN68" s="222">
        <v>4599</v>
      </c>
      <c r="GO68" s="225" t="str">
        <f>IF($C68&gt;=Wirtschaftlichkeit!$Z$8,Wirtschaftlichkeit!$Z$8,IF(AND($C68&lt;=Wirtschaftlichkeit!$Z$8,$C68&gt;=Wirtschaftlichkeit!$Z$8*Eingabemaske!$B$18),$C68,"0"))</f>
        <v>0</v>
      </c>
      <c r="GP68" s="222">
        <v>4599</v>
      </c>
      <c r="GQ68" s="224">
        <f t="shared" si="58"/>
        <v>0</v>
      </c>
      <c r="GR68" s="222">
        <v>4599</v>
      </c>
      <c r="GS68" s="226" t="str">
        <f t="shared" si="59"/>
        <v xml:space="preserve"> </v>
      </c>
      <c r="GT68" s="312">
        <v>4599</v>
      </c>
      <c r="GU68" s="286">
        <f>GO68*Wirtschaftlichkeit!$Z$5/Wirtschaftlichkeit!$Z$7</f>
        <v>0</v>
      </c>
      <c r="GV68" s="284">
        <f t="shared" si="60"/>
        <v>0</v>
      </c>
      <c r="GW68" s="266"/>
      <c r="GX68" s="258">
        <v>4599</v>
      </c>
      <c r="GY68" s="270">
        <f>IF(Berechnung_Diagramme!$C$28=Berechnungen_Lastgang!$F$2,Berechnungen_Lastgang!G68,IF(Berechnung_Diagramme!$C$28=Berechnungen_Lastgang!$P$2,Berechnungen_Lastgang!Q68,IF(Berechnung_Diagramme!$C$28=Berechnungen_Lastgang!$Z$2,Berechnungen_Lastgang!AA68,IF(Berechnung_Diagramme!$C$28=Berechnungen_Lastgang!$AJ$2,Berechnungen_Lastgang!AK68,IF(Berechnung_Diagramme!$C$28=Berechnungen_Lastgang!$AT$2,Berechnungen_Lastgang!AU68,IF(Berechnung_Diagramme!$C$28=Berechnungen_Lastgang!$BD$2,Berechnungen_Lastgang!BE68,IF(Berechnung_Diagramme!$C$28=Berechnungen_Lastgang!$BN$2,Berechnungen_Lastgang!BO68,IF(Berechnung_Diagramme!$C$28=Berechnungen_Lastgang!$BX$2,Berechnungen_Lastgang!BY68,IF(Berechnung_Diagramme!$C$28=Berechnungen_Lastgang!$CH$2,Berechnungen_Lastgang!CI68,IF(Berechnung_Diagramme!$C$28=Berechnungen_Lastgang!$CR$2,Berechnungen_Lastgang!CS68,IF(Berechnung_Diagramme!$C$28=Berechnungen_Lastgang!$DB$2,Berechnungen_Lastgang!DC68,IF(Berechnung_Diagramme!$C$28=Berechnungen_Lastgang!$DL$2,Berechnungen_Lastgang!DM68,IF(Berechnung_Diagramme!$C$28=Berechnungen_Lastgang!$DV$2,Berechnungen_Lastgang!DW68,IF(Berechnung_Diagramme!$C$28=Berechnungen_Lastgang!$EF$2,Berechnungen_Lastgang!EG68,IF(Berechnung_Diagramme!$C$28=Berechnungen_Lastgang!$EP$2,Berechnungen_Lastgang!EQ68,IF(Berechnung_Diagramme!$C$28=Berechnungen_Lastgang!$EZ$2,Berechnungen_Lastgang!FA68,IF(Berechnung_Diagramme!$C$28=Berechnungen_Lastgang!$FJ$2,Berechnungen_Lastgang!FK68,IF(Berechnung_Diagramme!$C$28=Berechnungen_Lastgang!$FT$2,Berechnungen_Lastgang!FU68,IF(Berechnung_Diagramme!$C$28=Berechnungen_Lastgang!$GD$2,Berechnungen_Lastgang!GE68,IF(Berechnung_Diagramme!$C$28=Berechnungen_Lastgang!$GN$2,Berechnungen_Lastgang!GO68,""))))))))))))))))))))</f>
        <v>10.50732</v>
      </c>
    </row>
    <row r="69" spans="2:207" x14ac:dyDescent="0.25">
      <c r="B69" s="64">
        <v>4672</v>
      </c>
      <c r="C69" s="67">
        <f>C68+((C70-C68)/(B70-B68))*(B69-B68)</f>
        <v>10.09746</v>
      </c>
      <c r="D69" s="66">
        <f t="shared" ref="D69:D100" si="64">73*((C69+C70)/2)</f>
        <v>722.15469000000007</v>
      </c>
      <c r="F69" s="64">
        <v>4672</v>
      </c>
      <c r="G69" s="225">
        <f>IF($C69&gt;=Wirtschaftlichkeit!$G$8,Wirtschaftlichkeit!$G$8,IF(AND($C69&lt;=Wirtschaftlichkeit!$G$8,$C69&gt;=Wirtschaftlichkeit!$G$8*Eingabemaske!$B$18),$C69,"0"))</f>
        <v>2.8333333333333335</v>
      </c>
      <c r="H69" s="64">
        <v>4672</v>
      </c>
      <c r="I69" s="66">
        <f t="shared" ref="I69:I100" si="65">73*((G69+G70)/2)</f>
        <v>206.83333333333334</v>
      </c>
      <c r="J69" s="64">
        <v>4672</v>
      </c>
      <c r="K69" s="71">
        <f t="shared" ref="K69:K100" si="66">IF(G69="0"," ",G69)</f>
        <v>2.8333333333333335</v>
      </c>
      <c r="L69" s="312">
        <v>4672</v>
      </c>
      <c r="M69" s="286">
        <f>G69*Wirtschaftlichkeit!$G$5/Wirtschaftlichkeit!$G$7</f>
        <v>1</v>
      </c>
      <c r="N69" s="284">
        <f t="shared" si="3"/>
        <v>73</v>
      </c>
      <c r="P69" s="222">
        <v>4672</v>
      </c>
      <c r="Q69" s="225">
        <f>IF($C69&gt;=Wirtschaftlichkeit!$H$8,Wirtschaftlichkeit!$H$8,IF(AND($C69&lt;=Wirtschaftlichkeit!$H$8,$C69&gt;=Wirtschaftlichkeit!$H$8*Eingabemaske!$B$18),$C69,"0"))</f>
        <v>5.5876288659793811</v>
      </c>
      <c r="R69" s="222">
        <v>4672</v>
      </c>
      <c r="S69" s="224">
        <f t="shared" si="4"/>
        <v>407.89690721649481</v>
      </c>
      <c r="T69" s="222">
        <v>4672</v>
      </c>
      <c r="U69" s="226">
        <f t="shared" si="5"/>
        <v>5.5876288659793811</v>
      </c>
      <c r="V69" s="312">
        <v>4672</v>
      </c>
      <c r="W69" s="286">
        <f>Q69*Wirtschaftlichkeit!$H$5/Wirtschaftlichkeit!$H$7</f>
        <v>2</v>
      </c>
      <c r="X69" s="284">
        <f t="shared" si="6"/>
        <v>146</v>
      </c>
      <c r="Z69" s="222">
        <v>4672</v>
      </c>
      <c r="AA69" s="225">
        <f>IF($C69&gt;=Wirtschaftlichkeit!$I$8,Wirtschaftlichkeit!$I$8,IF(AND($C69&lt;=Wirtschaftlichkeit!$I$8,$C69&gt;=Wirtschaftlichkeit!$I$8*Eingabemaske!$B$18),$C69,"0"))</f>
        <v>8.2471643149712612</v>
      </c>
      <c r="AB69" s="222">
        <v>4672</v>
      </c>
      <c r="AC69" s="224">
        <f t="shared" si="7"/>
        <v>602.04299499290209</v>
      </c>
      <c r="AD69" s="222">
        <v>4672</v>
      </c>
      <c r="AE69" s="226">
        <f t="shared" si="8"/>
        <v>8.2471643149712612</v>
      </c>
      <c r="AF69" s="312">
        <v>4672</v>
      </c>
      <c r="AG69" s="286">
        <f>AA69*Wirtschaftlichkeit!$I$5/Wirtschaftlichkeit!$I$7</f>
        <v>3.0000000000000004</v>
      </c>
      <c r="AH69" s="284">
        <f t="shared" si="9"/>
        <v>219.00000000000003</v>
      </c>
      <c r="AJ69" s="222">
        <v>4672</v>
      </c>
      <c r="AK69" s="225">
        <f>IF($C69&gt;=Wirtschaftlichkeit!$J$8,Wirtschaftlichkeit!$J$8,IF(AND($C69&lt;=Wirtschaftlichkeit!$J$8,$C69&gt;=Wirtschaftlichkeit!$J$8*Eingabemaske!$B$18),$C69,"0"))</f>
        <v>10.09746</v>
      </c>
      <c r="AL69" s="222">
        <v>4672</v>
      </c>
      <c r="AM69" s="224">
        <f t="shared" si="10"/>
        <v>722.15469000000007</v>
      </c>
      <c r="AN69" s="222">
        <v>4672</v>
      </c>
      <c r="AO69" s="226">
        <f t="shared" si="11"/>
        <v>10.09746</v>
      </c>
      <c r="AP69" s="312">
        <v>4672</v>
      </c>
      <c r="AQ69" s="286">
        <f>AK69*Wirtschaftlichkeit!$J$5/Wirtschaftlichkeit!$J$7</f>
        <v>3.8329785286939804</v>
      </c>
      <c r="AR69" s="284">
        <f t="shared" si="12"/>
        <v>274.1286839626656</v>
      </c>
      <c r="AT69" s="222">
        <v>4672</v>
      </c>
      <c r="AU69" s="225">
        <f>IF($C69&gt;=Wirtschaftlichkeit!$K$8,Wirtschaftlichkeit!$K$8,IF(AND($C69&lt;=Wirtschaftlichkeit!$K$8,$C69&gt;=Wirtschaftlichkeit!$K$8*Eingabemaske!$B$18),$C69,"0"))</f>
        <v>10.09746</v>
      </c>
      <c r="AV69" s="222">
        <v>4672</v>
      </c>
      <c r="AW69" s="224">
        <f t="shared" si="13"/>
        <v>722.15469000000007</v>
      </c>
      <c r="AX69" s="222">
        <v>4672</v>
      </c>
      <c r="AY69" s="226">
        <f t="shared" si="14"/>
        <v>10.09746</v>
      </c>
      <c r="AZ69" s="312">
        <v>4672</v>
      </c>
      <c r="BA69" s="286">
        <f>AU69*Wirtschaftlichkeit!$K$5/Wirtschaftlichkeit!$K$7</f>
        <v>3.9631694663957147</v>
      </c>
      <c r="BB69" s="284">
        <f t="shared" si="15"/>
        <v>283.43973805516066</v>
      </c>
      <c r="BD69" s="222">
        <v>4672</v>
      </c>
      <c r="BE69" s="225">
        <f>IF($C69&gt;=Wirtschaftlichkeit!$L$8,Wirtschaftlichkeit!$L$8,IF(AND($C69&lt;=Wirtschaftlichkeit!$L$8,$C69&gt;=Wirtschaftlichkeit!$L$8*Eingabemaske!$B$18),$C69,"0"))</f>
        <v>10.09746</v>
      </c>
      <c r="BF69" s="222">
        <v>4672</v>
      </c>
      <c r="BG69" s="224">
        <f t="shared" si="16"/>
        <v>722.15469000000007</v>
      </c>
      <c r="BH69" s="222">
        <v>4672</v>
      </c>
      <c r="BI69" s="226">
        <f t="shared" si="17"/>
        <v>10.09746</v>
      </c>
      <c r="BJ69" s="312">
        <v>4672</v>
      </c>
      <c r="BK69" s="286">
        <f>BE69*Wirtschaftlichkeit!$L$5/Wirtschaftlichkeit!$L$7</f>
        <v>4.0737765210806351</v>
      </c>
      <c r="BL69" s="284">
        <f t="shared" si="18"/>
        <v>291.35018318569865</v>
      </c>
      <c r="BN69" s="222">
        <v>4672</v>
      </c>
      <c r="BO69" s="225">
        <f>IF($C69&gt;=Wirtschaftlichkeit!$M$8,Wirtschaftlichkeit!$M$8,IF(AND($C69&lt;=Wirtschaftlichkeit!$M$8,$C69&gt;=Wirtschaftlichkeit!$M$8*Eingabemaske!$B$18),$C69,"0"))</f>
        <v>10.09746</v>
      </c>
      <c r="BP69" s="222">
        <v>4672</v>
      </c>
      <c r="BQ69" s="224">
        <f t="shared" si="19"/>
        <v>722.15469000000007</v>
      </c>
      <c r="BR69" s="222">
        <v>4672</v>
      </c>
      <c r="BS69" s="226">
        <f t="shared" si="20"/>
        <v>10.09746</v>
      </c>
      <c r="BT69" s="312">
        <v>4672</v>
      </c>
      <c r="BU69" s="286">
        <f>BO69*Wirtschaftlichkeit!$M$5/Wirtschaftlichkeit!$M$7</f>
        <v>4.1704113284875453</v>
      </c>
      <c r="BV69" s="284">
        <f t="shared" si="21"/>
        <v>298.26135484531864</v>
      </c>
      <c r="BX69" s="222">
        <v>4672</v>
      </c>
      <c r="BY69" s="225">
        <f>IF($C69&gt;=Wirtschaftlichkeit!$N$8,Wirtschaftlichkeit!$N$8,IF(AND($C69&lt;=Wirtschaftlichkeit!$N$8,$C69&gt;=Wirtschaftlichkeit!$N$8*Eingabemaske!$B$18),$C69,"0"))</f>
        <v>10.09746</v>
      </c>
      <c r="BZ69" s="222">
        <v>4672</v>
      </c>
      <c r="CA69" s="224">
        <f t="shared" si="22"/>
        <v>722.15469000000007</v>
      </c>
      <c r="CB69" s="222">
        <v>4672</v>
      </c>
      <c r="CC69" s="226">
        <f t="shared" si="23"/>
        <v>10.09746</v>
      </c>
      <c r="CD69" s="312">
        <v>4672</v>
      </c>
      <c r="CE69" s="286">
        <f>BY69*Wirtschaftlichkeit!$N$5/Wirtschaftlichkeit!$N$7</f>
        <v>4.2565269139694077</v>
      </c>
      <c r="CF69" s="284">
        <f t="shared" si="24"/>
        <v>304.42020805571241</v>
      </c>
      <c r="CH69" s="222">
        <v>4672</v>
      </c>
      <c r="CI69" s="225" t="str">
        <f>IF($C69&gt;=Wirtschaftlichkeit!$O$8,Wirtschaftlichkeit!$O$8,IF(AND($C69&lt;=Wirtschaftlichkeit!$O$8,$C69&gt;=Wirtschaftlichkeit!$O$8*Eingabemaske!$B$18),$C69,"0"))</f>
        <v>0</v>
      </c>
      <c r="CJ69" s="222">
        <v>4672</v>
      </c>
      <c r="CK69" s="224">
        <f t="shared" si="25"/>
        <v>0</v>
      </c>
      <c r="CL69" s="222">
        <v>4672</v>
      </c>
      <c r="CM69" s="226" t="str">
        <f t="shared" si="26"/>
        <v xml:space="preserve"> </v>
      </c>
      <c r="CN69" s="312">
        <v>4672</v>
      </c>
      <c r="CO69" s="286">
        <f>CI69*Wirtschaftlichkeit!$O$5/Wirtschaftlichkeit!$O$7</f>
        <v>0</v>
      </c>
      <c r="CP69" s="284">
        <f t="shared" si="27"/>
        <v>0</v>
      </c>
      <c r="CR69" s="222">
        <v>4672</v>
      </c>
      <c r="CS69" s="225" t="str">
        <f>IF($C69&gt;=Wirtschaftlichkeit!$P$8,Wirtschaftlichkeit!$P$8,IF(AND($C69&lt;=Wirtschaftlichkeit!$P$8,$C69&gt;=Wirtschaftlichkeit!$P$8*Eingabemaske!$B$18),$C69,"0"))</f>
        <v>0</v>
      </c>
      <c r="CT69" s="222">
        <v>4672</v>
      </c>
      <c r="CU69" s="224">
        <f t="shared" si="28"/>
        <v>0</v>
      </c>
      <c r="CV69" s="222">
        <v>4672</v>
      </c>
      <c r="CW69" s="226" t="str">
        <f t="shared" si="29"/>
        <v xml:space="preserve"> </v>
      </c>
      <c r="CX69" s="312">
        <v>4672</v>
      </c>
      <c r="CY69" s="286">
        <f>CS69*Wirtschaftlichkeit!$P$5/Wirtschaftlichkeit!$P$7</f>
        <v>0</v>
      </c>
      <c r="CZ69" s="284">
        <f t="shared" si="30"/>
        <v>0</v>
      </c>
      <c r="DB69" s="222">
        <v>4672</v>
      </c>
      <c r="DC69" s="225" t="str">
        <f>IF($C69&gt;=Wirtschaftlichkeit!$Q$8,Wirtschaftlichkeit!$Q$8,IF(AND($C69&lt;=Wirtschaftlichkeit!$Q$8,$C69&gt;=Wirtschaftlichkeit!$Q$8*Eingabemaske!$B$18),$C69,"0"))</f>
        <v>0</v>
      </c>
      <c r="DD69" s="222">
        <v>4672</v>
      </c>
      <c r="DE69" s="224">
        <f t="shared" si="31"/>
        <v>0</v>
      </c>
      <c r="DF69" s="222">
        <v>4672</v>
      </c>
      <c r="DG69" s="226" t="str">
        <f t="shared" si="32"/>
        <v xml:space="preserve"> </v>
      </c>
      <c r="DH69" s="312">
        <v>4672</v>
      </c>
      <c r="DI69" s="286">
        <f>DC69*Wirtschaftlichkeit!$Q$5/Wirtschaftlichkeit!$Q$7</f>
        <v>0</v>
      </c>
      <c r="DJ69" s="284">
        <f t="shared" si="33"/>
        <v>0</v>
      </c>
      <c r="DL69" s="222">
        <v>4672</v>
      </c>
      <c r="DM69" s="225" t="str">
        <f>IF($C69&gt;=Wirtschaftlichkeit!$R$8,Wirtschaftlichkeit!$R$8,IF(AND($C69&lt;=Wirtschaftlichkeit!$R$8,$C69&gt;=Wirtschaftlichkeit!$R$8*Eingabemaske!$B$18),$C69,"0"))</f>
        <v>0</v>
      </c>
      <c r="DN69" s="222">
        <v>4672</v>
      </c>
      <c r="DO69" s="224">
        <f t="shared" si="34"/>
        <v>0</v>
      </c>
      <c r="DP69" s="222">
        <v>4672</v>
      </c>
      <c r="DQ69" s="226" t="str">
        <f t="shared" si="35"/>
        <v xml:space="preserve"> </v>
      </c>
      <c r="DR69" s="312">
        <v>4672</v>
      </c>
      <c r="DS69" s="286">
        <f>DM69*Wirtschaftlichkeit!$R$5/Wirtschaftlichkeit!$R$7</f>
        <v>0</v>
      </c>
      <c r="DT69" s="284">
        <f t="shared" si="36"/>
        <v>0</v>
      </c>
      <c r="DV69" s="222">
        <v>4672</v>
      </c>
      <c r="DW69" s="225" t="str">
        <f>IF($C69&gt;=Wirtschaftlichkeit!$S$8,Wirtschaftlichkeit!$S$8,IF(AND($C69&lt;=Wirtschaftlichkeit!$S$8,$C69&gt;=Wirtschaftlichkeit!$S$8*Eingabemaske!$B$18),$C69,"0"))</f>
        <v>0</v>
      </c>
      <c r="DX69" s="222">
        <v>4672</v>
      </c>
      <c r="DY69" s="224">
        <f t="shared" si="37"/>
        <v>0</v>
      </c>
      <c r="DZ69" s="222">
        <v>4672</v>
      </c>
      <c r="EA69" s="226" t="str">
        <f t="shared" si="38"/>
        <v xml:space="preserve"> </v>
      </c>
      <c r="EB69" s="312">
        <v>4672</v>
      </c>
      <c r="EC69" s="286">
        <f>DW69*Wirtschaftlichkeit!$S$5/Wirtschaftlichkeit!$S$7</f>
        <v>0</v>
      </c>
      <c r="ED69" s="284">
        <f t="shared" si="39"/>
        <v>0</v>
      </c>
      <c r="EF69" s="222">
        <v>4672</v>
      </c>
      <c r="EG69" s="225" t="str">
        <f>IF($C69&gt;=Wirtschaftlichkeit!$T$8,Wirtschaftlichkeit!$T$8,IF(AND($C69&lt;=Wirtschaftlichkeit!$T$8,$C69&gt;=Wirtschaftlichkeit!$T$8*Eingabemaske!$B$18),$C69,"0"))</f>
        <v>0</v>
      </c>
      <c r="EH69" s="222">
        <v>4672</v>
      </c>
      <c r="EI69" s="224">
        <f t="shared" si="40"/>
        <v>0</v>
      </c>
      <c r="EJ69" s="222">
        <v>4672</v>
      </c>
      <c r="EK69" s="226" t="str">
        <f t="shared" si="41"/>
        <v xml:space="preserve"> </v>
      </c>
      <c r="EL69" s="312">
        <v>4672</v>
      </c>
      <c r="EM69" s="286">
        <f>EG69*Wirtschaftlichkeit!$T$5/Wirtschaftlichkeit!$T$7</f>
        <v>0</v>
      </c>
      <c r="EN69" s="284">
        <f t="shared" si="42"/>
        <v>0</v>
      </c>
      <c r="EP69" s="222">
        <v>4672</v>
      </c>
      <c r="EQ69" s="225" t="str">
        <f>IF($C69&gt;=Wirtschaftlichkeit!$U$8,Wirtschaftlichkeit!$U$8,IF(AND($C69&lt;=Wirtschaftlichkeit!$U$8,$C69&gt;=Wirtschaftlichkeit!$U$8*Eingabemaske!$B$18),$C69,"0"))</f>
        <v>0</v>
      </c>
      <c r="ER69" s="222">
        <v>4672</v>
      </c>
      <c r="ES69" s="224">
        <f t="shared" si="43"/>
        <v>0</v>
      </c>
      <c r="ET69" s="222">
        <v>4672</v>
      </c>
      <c r="EU69" s="226" t="str">
        <f t="shared" si="44"/>
        <v xml:space="preserve"> </v>
      </c>
      <c r="EV69" s="312">
        <v>4672</v>
      </c>
      <c r="EW69" s="286">
        <f>EQ69*Wirtschaftlichkeit!$U$5/Wirtschaftlichkeit!$U$7</f>
        <v>0</v>
      </c>
      <c r="EX69" s="284">
        <f t="shared" si="45"/>
        <v>0</v>
      </c>
      <c r="EZ69" s="222">
        <v>4672</v>
      </c>
      <c r="FA69" s="225" t="str">
        <f>IF($C69&gt;=Wirtschaftlichkeit!$V$8,Wirtschaftlichkeit!$V$8,IF(AND($C69&lt;=Wirtschaftlichkeit!$V$8,$C69&gt;=Wirtschaftlichkeit!$V$8*Eingabemaske!$B$18),$C69,"0"))</f>
        <v>0</v>
      </c>
      <c r="FB69" s="222">
        <v>4672</v>
      </c>
      <c r="FC69" s="224">
        <f t="shared" si="46"/>
        <v>0</v>
      </c>
      <c r="FD69" s="222">
        <v>4672</v>
      </c>
      <c r="FE69" s="226" t="str">
        <f t="shared" si="47"/>
        <v xml:space="preserve"> </v>
      </c>
      <c r="FF69" s="312">
        <v>4672</v>
      </c>
      <c r="FG69" s="286">
        <f>FA69*Wirtschaftlichkeit!$V$5/Wirtschaftlichkeit!$V$7</f>
        <v>0</v>
      </c>
      <c r="FH69" s="284">
        <f t="shared" si="48"/>
        <v>0</v>
      </c>
      <c r="FJ69" s="222">
        <v>4672</v>
      </c>
      <c r="FK69" s="225" t="str">
        <f>IF($C69&gt;=Wirtschaftlichkeit!$W$8,Wirtschaftlichkeit!$W$8,IF(AND($C69&lt;=Wirtschaftlichkeit!$W$8,$C69&gt;=Wirtschaftlichkeit!$W$8*Eingabemaske!$B$18),$C69,"0"))</f>
        <v>0</v>
      </c>
      <c r="FL69" s="222">
        <v>4672</v>
      </c>
      <c r="FM69" s="224">
        <f t="shared" si="49"/>
        <v>0</v>
      </c>
      <c r="FN69" s="222">
        <v>4672</v>
      </c>
      <c r="FO69" s="226" t="str">
        <f t="shared" si="50"/>
        <v xml:space="preserve"> </v>
      </c>
      <c r="FP69" s="312">
        <v>4672</v>
      </c>
      <c r="FQ69" s="286">
        <f>FK69*Wirtschaftlichkeit!$W$5/Wirtschaftlichkeit!$W$7</f>
        <v>0</v>
      </c>
      <c r="FR69" s="284">
        <f t="shared" si="51"/>
        <v>0</v>
      </c>
      <c r="FT69" s="222">
        <v>4672</v>
      </c>
      <c r="FU69" s="225" t="str">
        <f>IF($C69&gt;=Wirtschaftlichkeit!$X$8,Wirtschaftlichkeit!$X$8,IF(AND($C69&lt;=Wirtschaftlichkeit!$X$8,$C69&gt;=Wirtschaftlichkeit!$X$8*Eingabemaske!$B$18),$C69,"0"))</f>
        <v>0</v>
      </c>
      <c r="FV69" s="222">
        <v>4672</v>
      </c>
      <c r="FW69" s="224">
        <f t="shared" si="52"/>
        <v>0</v>
      </c>
      <c r="FX69" s="222">
        <v>4672</v>
      </c>
      <c r="FY69" s="226" t="str">
        <f t="shared" si="53"/>
        <v xml:space="preserve"> </v>
      </c>
      <c r="FZ69" s="312">
        <v>4672</v>
      </c>
      <c r="GA69" s="286">
        <f>FU69*Wirtschaftlichkeit!$X$5/Wirtschaftlichkeit!$X$7</f>
        <v>0</v>
      </c>
      <c r="GB69" s="284">
        <f t="shared" si="54"/>
        <v>0</v>
      </c>
      <c r="GD69" s="222">
        <v>4672</v>
      </c>
      <c r="GE69" s="225" t="str">
        <f>IF($C69&gt;=Wirtschaftlichkeit!$Y$8,Wirtschaftlichkeit!$Y$8,IF(AND($C69&lt;=Wirtschaftlichkeit!$Y$8,$C69&gt;=Wirtschaftlichkeit!$Y$8*Eingabemaske!$B$18),$C69,"0"))</f>
        <v>0</v>
      </c>
      <c r="GF69" s="222">
        <v>4672</v>
      </c>
      <c r="GG69" s="224">
        <f t="shared" si="55"/>
        <v>0</v>
      </c>
      <c r="GH69" s="222">
        <v>4672</v>
      </c>
      <c r="GI69" s="226" t="str">
        <f t="shared" si="56"/>
        <v xml:space="preserve"> </v>
      </c>
      <c r="GJ69" s="312">
        <v>4672</v>
      </c>
      <c r="GK69" s="286">
        <f>GE69*Wirtschaftlichkeit!$Y$5/Wirtschaftlichkeit!$Y$7</f>
        <v>0</v>
      </c>
      <c r="GL69" s="284">
        <f t="shared" si="57"/>
        <v>0</v>
      </c>
      <c r="GN69" s="222">
        <v>4672</v>
      </c>
      <c r="GO69" s="225" t="str">
        <f>IF($C69&gt;=Wirtschaftlichkeit!$Z$8,Wirtschaftlichkeit!$Z$8,IF(AND($C69&lt;=Wirtschaftlichkeit!$Z$8,$C69&gt;=Wirtschaftlichkeit!$Z$8*Eingabemaske!$B$18),$C69,"0"))</f>
        <v>0</v>
      </c>
      <c r="GP69" s="222">
        <v>4672</v>
      </c>
      <c r="GQ69" s="224">
        <f t="shared" si="58"/>
        <v>0</v>
      </c>
      <c r="GR69" s="222">
        <v>4672</v>
      </c>
      <c r="GS69" s="226" t="str">
        <f t="shared" si="59"/>
        <v xml:space="preserve"> </v>
      </c>
      <c r="GT69" s="312">
        <v>4672</v>
      </c>
      <c r="GU69" s="286">
        <f>GO69*Wirtschaftlichkeit!$Z$5/Wirtschaftlichkeit!$Z$7</f>
        <v>0</v>
      </c>
      <c r="GV69" s="284">
        <f t="shared" si="60"/>
        <v>0</v>
      </c>
      <c r="GW69" s="266"/>
      <c r="GX69" s="258">
        <v>4672</v>
      </c>
      <c r="GY69" s="270" t="str">
        <f>IF(Berechnung_Diagramme!$C$28=Berechnungen_Lastgang!$F$2,Berechnungen_Lastgang!G69,IF(Berechnung_Diagramme!$C$28=Berechnungen_Lastgang!$P$2,Berechnungen_Lastgang!Q69,IF(Berechnung_Diagramme!$C$28=Berechnungen_Lastgang!$Z$2,Berechnungen_Lastgang!AA69,IF(Berechnung_Diagramme!$C$28=Berechnungen_Lastgang!$AJ$2,Berechnungen_Lastgang!AK69,IF(Berechnung_Diagramme!$C$28=Berechnungen_Lastgang!$AT$2,Berechnungen_Lastgang!AU69,IF(Berechnung_Diagramme!$C$28=Berechnungen_Lastgang!$BD$2,Berechnungen_Lastgang!BE69,IF(Berechnung_Diagramme!$C$28=Berechnungen_Lastgang!$BN$2,Berechnungen_Lastgang!BO69,IF(Berechnung_Diagramme!$C$28=Berechnungen_Lastgang!$BX$2,Berechnungen_Lastgang!BY69,IF(Berechnung_Diagramme!$C$28=Berechnungen_Lastgang!$CH$2,Berechnungen_Lastgang!CI69,IF(Berechnung_Diagramme!$C$28=Berechnungen_Lastgang!$CR$2,Berechnungen_Lastgang!CS69,IF(Berechnung_Diagramme!$C$28=Berechnungen_Lastgang!$DB$2,Berechnungen_Lastgang!DC69,IF(Berechnung_Diagramme!$C$28=Berechnungen_Lastgang!$DL$2,Berechnungen_Lastgang!DM69,IF(Berechnung_Diagramme!$C$28=Berechnungen_Lastgang!$DV$2,Berechnungen_Lastgang!DW69,IF(Berechnung_Diagramme!$C$28=Berechnungen_Lastgang!$EF$2,Berechnungen_Lastgang!EG69,IF(Berechnung_Diagramme!$C$28=Berechnungen_Lastgang!$EP$2,Berechnungen_Lastgang!EQ69,IF(Berechnung_Diagramme!$C$28=Berechnungen_Lastgang!$EZ$2,Berechnungen_Lastgang!FA69,IF(Berechnung_Diagramme!$C$28=Berechnungen_Lastgang!$FJ$2,Berechnungen_Lastgang!FK69,IF(Berechnung_Diagramme!$C$28=Berechnungen_Lastgang!$FT$2,Berechnungen_Lastgang!FU69,IF(Berechnung_Diagramme!$C$28=Berechnungen_Lastgang!$GD$2,Berechnungen_Lastgang!GE69,IF(Berechnung_Diagramme!$C$28=Berechnungen_Lastgang!$GN$2,Berechnungen_Lastgang!GO69,""))))))))))))))))))))</f>
        <v>0</v>
      </c>
    </row>
    <row r="70" spans="2:207" x14ac:dyDescent="0.25">
      <c r="B70" s="64">
        <v>4745</v>
      </c>
      <c r="C70" s="67">
        <f>(C65+C75)/2</f>
        <v>9.6875999999999998</v>
      </c>
      <c r="D70" s="66">
        <f t="shared" si="64"/>
        <v>692.2349099999999</v>
      </c>
      <c r="F70" s="64">
        <v>4745</v>
      </c>
      <c r="G70" s="225">
        <f>IF($C70&gt;=Wirtschaftlichkeit!$G$8,Wirtschaftlichkeit!$G$8,IF(AND($C70&lt;=Wirtschaftlichkeit!$G$8,$C70&gt;=Wirtschaftlichkeit!$G$8*Eingabemaske!$B$18),$C70,"0"))</f>
        <v>2.8333333333333335</v>
      </c>
      <c r="H70" s="64">
        <v>4745</v>
      </c>
      <c r="I70" s="66">
        <f t="shared" si="65"/>
        <v>206.83333333333334</v>
      </c>
      <c r="J70" s="64">
        <v>4745</v>
      </c>
      <c r="K70" s="71">
        <f t="shared" si="66"/>
        <v>2.8333333333333335</v>
      </c>
      <c r="L70" s="312">
        <v>4745</v>
      </c>
      <c r="M70" s="286">
        <f>G70*Wirtschaftlichkeit!$G$5/Wirtschaftlichkeit!$G$7</f>
        <v>1</v>
      </c>
      <c r="N70" s="284">
        <f t="shared" ref="N70:N125" si="67">73*((M70+M71)/2)</f>
        <v>73</v>
      </c>
      <c r="P70" s="222">
        <v>4745</v>
      </c>
      <c r="Q70" s="225">
        <f>IF($C70&gt;=Wirtschaftlichkeit!$H$8,Wirtschaftlichkeit!$H$8,IF(AND($C70&lt;=Wirtschaftlichkeit!$H$8,$C70&gt;=Wirtschaftlichkeit!$H$8*Eingabemaske!$B$18),$C70,"0"))</f>
        <v>5.5876288659793811</v>
      </c>
      <c r="R70" s="222">
        <v>4745</v>
      </c>
      <c r="S70" s="224">
        <f t="shared" ref="S70:S124" si="68">73*((Q70+Q71)/2)</f>
        <v>407.89690721649481</v>
      </c>
      <c r="T70" s="222">
        <v>4745</v>
      </c>
      <c r="U70" s="226">
        <f t="shared" ref="U70:U87" si="69">IF(Q70="0"," ",Q70)</f>
        <v>5.5876288659793811</v>
      </c>
      <c r="V70" s="312">
        <v>4745</v>
      </c>
      <c r="W70" s="286">
        <f>Q70*Wirtschaftlichkeit!$H$5/Wirtschaftlichkeit!$H$7</f>
        <v>2</v>
      </c>
      <c r="X70" s="284">
        <f t="shared" ref="X70:X125" si="70">73*((W70+W71)/2)</f>
        <v>146</v>
      </c>
      <c r="Z70" s="222">
        <v>4745</v>
      </c>
      <c r="AA70" s="225">
        <f>IF($C70&gt;=Wirtschaftlichkeit!$I$8,Wirtschaftlichkeit!$I$8,IF(AND($C70&lt;=Wirtschaftlichkeit!$I$8,$C70&gt;=Wirtschaftlichkeit!$I$8*Eingabemaske!$B$18),$C70,"0"))</f>
        <v>8.2471643149712612</v>
      </c>
      <c r="AB70" s="222">
        <v>4745</v>
      </c>
      <c r="AC70" s="224">
        <f t="shared" ref="AC70:AC124" si="71">73*((AA70+AA71)/2)</f>
        <v>602.04299499290209</v>
      </c>
      <c r="AD70" s="222">
        <v>4745</v>
      </c>
      <c r="AE70" s="226">
        <f t="shared" ref="AE70:AE87" si="72">IF(AA70="0"," ",AA70)</f>
        <v>8.2471643149712612</v>
      </c>
      <c r="AF70" s="312">
        <v>4745</v>
      </c>
      <c r="AG70" s="286">
        <f>AA70*Wirtschaftlichkeit!$I$5/Wirtschaftlichkeit!$I$7</f>
        <v>3.0000000000000004</v>
      </c>
      <c r="AH70" s="284">
        <f t="shared" ref="AH70:AH125" si="73">73*((AG70+AG71)/2)</f>
        <v>219.00000000000003</v>
      </c>
      <c r="AJ70" s="222">
        <v>4745</v>
      </c>
      <c r="AK70" s="225">
        <f>IF($C70&gt;=Wirtschaftlichkeit!$J$8,Wirtschaftlichkeit!$J$8,IF(AND($C70&lt;=Wirtschaftlichkeit!$J$8,$C70&gt;=Wirtschaftlichkeit!$J$8*Eingabemaske!$B$18),$C70,"0"))</f>
        <v>9.6875999999999998</v>
      </c>
      <c r="AL70" s="222">
        <v>4745</v>
      </c>
      <c r="AM70" s="224">
        <f t="shared" ref="AM70:AM124" si="74">73*((AK70+AK71)/2)</f>
        <v>692.2349099999999</v>
      </c>
      <c r="AN70" s="222">
        <v>4745</v>
      </c>
      <c r="AO70" s="226">
        <f t="shared" ref="AO70:AO87" si="75">IF(AK70="0"," ",AK70)</f>
        <v>9.6875999999999998</v>
      </c>
      <c r="AP70" s="312">
        <v>4745</v>
      </c>
      <c r="AQ70" s="286">
        <f>AK70*Wirtschaftlichkeit!$J$5/Wirtschaftlichkeit!$J$7</f>
        <v>3.6773963743927487</v>
      </c>
      <c r="AR70" s="284">
        <f t="shared" ref="AR70:AR125" si="76">73*((AQ70+AQ71)/2)</f>
        <v>262.77118669867571</v>
      </c>
      <c r="AT70" s="222">
        <v>4745</v>
      </c>
      <c r="AU70" s="225">
        <f>IF($C70&gt;=Wirtschaftlichkeit!$K$8,Wirtschaftlichkeit!$K$8,IF(AND($C70&lt;=Wirtschaftlichkeit!$K$8,$C70&gt;=Wirtschaftlichkeit!$K$8*Eingabemaske!$B$18),$C70,"0"))</f>
        <v>9.6875999999999998</v>
      </c>
      <c r="AV70" s="222">
        <v>4745</v>
      </c>
      <c r="AW70" s="224">
        <f t="shared" ref="AW70:AW124" si="77">73*((AU70+AU71)/2)</f>
        <v>692.2349099999999</v>
      </c>
      <c r="AX70" s="222">
        <v>4745</v>
      </c>
      <c r="AY70" s="226">
        <f t="shared" ref="AY70:AY87" si="78">IF(AU70="0"," ",AU70)</f>
        <v>9.6875999999999998</v>
      </c>
      <c r="AZ70" s="312">
        <v>4745</v>
      </c>
      <c r="BA70" s="286">
        <f>AU70*Wirtschaftlichkeit!$K$5/Wirtschaftlichkeit!$K$7</f>
        <v>3.8023028090881392</v>
      </c>
      <c r="BB70" s="284">
        <f t="shared" ref="BB70:BB125" si="79">73*((BA70+BA71)/2)</f>
        <v>271.69647207170766</v>
      </c>
      <c r="BD70" s="222">
        <v>4745</v>
      </c>
      <c r="BE70" s="225">
        <f>IF($C70&gt;=Wirtschaftlichkeit!$L$8,Wirtschaftlichkeit!$L$8,IF(AND($C70&lt;=Wirtschaftlichkeit!$L$8,$C70&gt;=Wirtschaftlichkeit!$L$8*Eingabemaske!$B$18),$C70,"0"))</f>
        <v>9.6875999999999998</v>
      </c>
      <c r="BF70" s="222">
        <v>4745</v>
      </c>
      <c r="BG70" s="224">
        <f t="shared" ref="BG70:BG124" si="80">73*((BE70+BE71)/2)</f>
        <v>692.2349099999999</v>
      </c>
      <c r="BH70" s="222">
        <v>4745</v>
      </c>
      <c r="BI70" s="226">
        <f t="shared" ref="BI70:BI87" si="81">IF(BE70="0"," ",BE70)</f>
        <v>9.6875999999999998</v>
      </c>
      <c r="BJ70" s="312">
        <v>4745</v>
      </c>
      <c r="BK70" s="286">
        <f>BE70*Wirtschaftlichkeit!$L$5/Wirtschaftlichkeit!$L$7</f>
        <v>3.9084202785275468</v>
      </c>
      <c r="BL70" s="284">
        <f t="shared" ref="BL70:BL125" si="82">73*((BK70+BK71)/2)</f>
        <v>279.27917747932315</v>
      </c>
      <c r="BN70" s="222">
        <v>4745</v>
      </c>
      <c r="BO70" s="225">
        <f>IF($C70&gt;=Wirtschaftlichkeit!$M$8,Wirtschaftlichkeit!$M$8,IF(AND($C70&lt;=Wirtschaftlichkeit!$M$8,$C70&gt;=Wirtschaftlichkeit!$M$8*Eingabemaske!$B$18),$C70,"0"))</f>
        <v>9.6875999999999998</v>
      </c>
      <c r="BP70" s="222">
        <v>4745</v>
      </c>
      <c r="BQ70" s="224">
        <f t="shared" ref="BQ70:BQ124" si="83">73*((BO70+BO71)/2)</f>
        <v>692.2349099999999</v>
      </c>
      <c r="BR70" s="222">
        <v>4745</v>
      </c>
      <c r="BS70" s="226">
        <f t="shared" ref="BS70:BS87" si="84">IF(BO70="0"," ",BO70)</f>
        <v>9.6875999999999998</v>
      </c>
      <c r="BT70" s="312">
        <v>4745</v>
      </c>
      <c r="BU70" s="286">
        <f>BO70*Wirtschaftlichkeit!$M$5/Wirtschaftlichkeit!$M$7</f>
        <v>4.0011326398773495</v>
      </c>
      <c r="BV70" s="284">
        <f t="shared" ref="BV70:BV125" si="85">73*((BU70+BU71)/2)</f>
        <v>285.9040105767744</v>
      </c>
      <c r="BX70" s="222">
        <v>4745</v>
      </c>
      <c r="BY70" s="225">
        <f>IF($C70&gt;=Wirtschaftlichkeit!$N$8,Wirtschaftlichkeit!$N$8,IF(AND($C70&lt;=Wirtschaftlichkeit!$N$8,$C70&gt;=Wirtschaftlichkeit!$N$8*Eingabemaske!$B$18),$C70,"0"))</f>
        <v>9.6875999999999998</v>
      </c>
      <c r="BZ70" s="222">
        <v>4745</v>
      </c>
      <c r="CA70" s="224">
        <f t="shared" ref="CA70:CA124" si="86">73*((BY70+BY71)/2)</f>
        <v>353.59739999999999</v>
      </c>
      <c r="CB70" s="222">
        <v>4745</v>
      </c>
      <c r="CC70" s="226">
        <f t="shared" ref="CC70:CC87" si="87">IF(BY70="0"," ",BY70)</f>
        <v>9.6875999999999998</v>
      </c>
      <c r="CD70" s="312">
        <v>4745</v>
      </c>
      <c r="CE70" s="286">
        <f>BY70*Wirtschaftlichkeit!$N$5/Wirtschaftlichkeit!$N$7</f>
        <v>4.0837527587898377</v>
      </c>
      <c r="CF70" s="284">
        <f t="shared" ref="CF70:CF125" si="88">73*((CE70+CE71)/2)</f>
        <v>149.05697569582907</v>
      </c>
      <c r="CH70" s="222">
        <v>4745</v>
      </c>
      <c r="CI70" s="225" t="str">
        <f>IF($C70&gt;=Wirtschaftlichkeit!$O$8,Wirtschaftlichkeit!$O$8,IF(AND($C70&lt;=Wirtschaftlichkeit!$O$8,$C70&gt;=Wirtschaftlichkeit!$O$8*Eingabemaske!$B$18),$C70,"0"))</f>
        <v>0</v>
      </c>
      <c r="CJ70" s="222">
        <v>4745</v>
      </c>
      <c r="CK70" s="224">
        <f t="shared" ref="CK70:CK124" si="89">73*((CI70+CI71)/2)</f>
        <v>0</v>
      </c>
      <c r="CL70" s="222">
        <v>4745</v>
      </c>
      <c r="CM70" s="226" t="str">
        <f t="shared" ref="CM70:CM87" si="90">IF(CI70="0"," ",CI70)</f>
        <v xml:space="preserve"> </v>
      </c>
      <c r="CN70" s="312">
        <v>4745</v>
      </c>
      <c r="CO70" s="286">
        <f>CI70*Wirtschaftlichkeit!$O$5/Wirtschaftlichkeit!$O$7</f>
        <v>0</v>
      </c>
      <c r="CP70" s="284">
        <f t="shared" ref="CP70:CP125" si="91">73*((CO70+CO71)/2)</f>
        <v>0</v>
      </c>
      <c r="CR70" s="222">
        <v>4745</v>
      </c>
      <c r="CS70" s="225" t="str">
        <f>IF($C70&gt;=Wirtschaftlichkeit!$P$8,Wirtschaftlichkeit!$P$8,IF(AND($C70&lt;=Wirtschaftlichkeit!$P$8,$C70&gt;=Wirtschaftlichkeit!$P$8*Eingabemaske!$B$18),$C70,"0"))</f>
        <v>0</v>
      </c>
      <c r="CT70" s="222">
        <v>4745</v>
      </c>
      <c r="CU70" s="224">
        <f t="shared" ref="CU70:CU124" si="92">73*((CS70+CS71)/2)</f>
        <v>0</v>
      </c>
      <c r="CV70" s="222">
        <v>4745</v>
      </c>
      <c r="CW70" s="226" t="str">
        <f t="shared" ref="CW70:CW87" si="93">IF(CS70="0"," ",CS70)</f>
        <v xml:space="preserve"> </v>
      </c>
      <c r="CX70" s="312">
        <v>4745</v>
      </c>
      <c r="CY70" s="286">
        <f>CS70*Wirtschaftlichkeit!$P$5/Wirtschaftlichkeit!$P$7</f>
        <v>0</v>
      </c>
      <c r="CZ70" s="284">
        <f t="shared" ref="CZ70:CZ125" si="94">73*((CY70+CY71)/2)</f>
        <v>0</v>
      </c>
      <c r="DB70" s="222">
        <v>4745</v>
      </c>
      <c r="DC70" s="225" t="str">
        <f>IF($C70&gt;=Wirtschaftlichkeit!$Q$8,Wirtschaftlichkeit!$Q$8,IF(AND($C70&lt;=Wirtschaftlichkeit!$Q$8,$C70&gt;=Wirtschaftlichkeit!$Q$8*Eingabemaske!$B$18),$C70,"0"))</f>
        <v>0</v>
      </c>
      <c r="DD70" s="222">
        <v>4745</v>
      </c>
      <c r="DE70" s="224">
        <f t="shared" ref="DE70:DE124" si="95">73*((DC70+DC71)/2)</f>
        <v>0</v>
      </c>
      <c r="DF70" s="222">
        <v>4745</v>
      </c>
      <c r="DG70" s="226" t="str">
        <f t="shared" ref="DG70:DG87" si="96">IF(DC70="0"," ",DC70)</f>
        <v xml:space="preserve"> </v>
      </c>
      <c r="DH70" s="312">
        <v>4745</v>
      </c>
      <c r="DI70" s="286">
        <f>DC70*Wirtschaftlichkeit!$Q$5/Wirtschaftlichkeit!$Q$7</f>
        <v>0</v>
      </c>
      <c r="DJ70" s="284">
        <f t="shared" ref="DJ70:DJ125" si="97">73*((DI70+DI71)/2)</f>
        <v>0</v>
      </c>
      <c r="DL70" s="222">
        <v>4745</v>
      </c>
      <c r="DM70" s="225" t="str">
        <f>IF($C70&gt;=Wirtschaftlichkeit!$R$8,Wirtschaftlichkeit!$R$8,IF(AND($C70&lt;=Wirtschaftlichkeit!$R$8,$C70&gt;=Wirtschaftlichkeit!$R$8*Eingabemaske!$B$18),$C70,"0"))</f>
        <v>0</v>
      </c>
      <c r="DN70" s="222">
        <v>4745</v>
      </c>
      <c r="DO70" s="224">
        <f t="shared" ref="DO70:DO124" si="98">73*((DM70+DM71)/2)</f>
        <v>0</v>
      </c>
      <c r="DP70" s="222">
        <v>4745</v>
      </c>
      <c r="DQ70" s="226" t="str">
        <f t="shared" ref="DQ70:DQ87" si="99">IF(DM70="0"," ",DM70)</f>
        <v xml:space="preserve"> </v>
      </c>
      <c r="DR70" s="312">
        <v>4745</v>
      </c>
      <c r="DS70" s="286">
        <f>DM70*Wirtschaftlichkeit!$R$5/Wirtschaftlichkeit!$R$7</f>
        <v>0</v>
      </c>
      <c r="DT70" s="284">
        <f t="shared" ref="DT70:DT125" si="100">73*((DS70+DS71)/2)</f>
        <v>0</v>
      </c>
      <c r="DV70" s="222">
        <v>4745</v>
      </c>
      <c r="DW70" s="225" t="str">
        <f>IF($C70&gt;=Wirtschaftlichkeit!$S$8,Wirtschaftlichkeit!$S$8,IF(AND($C70&lt;=Wirtschaftlichkeit!$S$8,$C70&gt;=Wirtschaftlichkeit!$S$8*Eingabemaske!$B$18),$C70,"0"))</f>
        <v>0</v>
      </c>
      <c r="DX70" s="222">
        <v>4745</v>
      </c>
      <c r="DY70" s="224">
        <f t="shared" ref="DY70:DY124" si="101">73*((DW70+DW71)/2)</f>
        <v>0</v>
      </c>
      <c r="DZ70" s="222">
        <v>4745</v>
      </c>
      <c r="EA70" s="226" t="str">
        <f t="shared" ref="EA70:EA87" si="102">IF(DW70="0"," ",DW70)</f>
        <v xml:space="preserve"> </v>
      </c>
      <c r="EB70" s="312">
        <v>4745</v>
      </c>
      <c r="EC70" s="286">
        <f>DW70*Wirtschaftlichkeit!$S$5/Wirtschaftlichkeit!$S$7</f>
        <v>0</v>
      </c>
      <c r="ED70" s="284">
        <f t="shared" ref="ED70:ED125" si="103">73*((EC70+EC71)/2)</f>
        <v>0</v>
      </c>
      <c r="EF70" s="222">
        <v>4745</v>
      </c>
      <c r="EG70" s="225" t="str">
        <f>IF($C70&gt;=Wirtschaftlichkeit!$T$8,Wirtschaftlichkeit!$T$8,IF(AND($C70&lt;=Wirtschaftlichkeit!$T$8,$C70&gt;=Wirtschaftlichkeit!$T$8*Eingabemaske!$B$18),$C70,"0"))</f>
        <v>0</v>
      </c>
      <c r="EH70" s="222">
        <v>4745</v>
      </c>
      <c r="EI70" s="224">
        <f t="shared" ref="EI70:EI124" si="104">73*((EG70+EG71)/2)</f>
        <v>0</v>
      </c>
      <c r="EJ70" s="222">
        <v>4745</v>
      </c>
      <c r="EK70" s="226" t="str">
        <f t="shared" ref="EK70:EK87" si="105">IF(EG70="0"," ",EG70)</f>
        <v xml:space="preserve"> </v>
      </c>
      <c r="EL70" s="312">
        <v>4745</v>
      </c>
      <c r="EM70" s="286">
        <f>EG70*Wirtschaftlichkeit!$T$5/Wirtschaftlichkeit!$T$7</f>
        <v>0</v>
      </c>
      <c r="EN70" s="284">
        <f t="shared" ref="EN70:EN125" si="106">73*((EM70+EM71)/2)</f>
        <v>0</v>
      </c>
      <c r="EP70" s="222">
        <v>4745</v>
      </c>
      <c r="EQ70" s="225" t="str">
        <f>IF($C70&gt;=Wirtschaftlichkeit!$U$8,Wirtschaftlichkeit!$U$8,IF(AND($C70&lt;=Wirtschaftlichkeit!$U$8,$C70&gt;=Wirtschaftlichkeit!$U$8*Eingabemaske!$B$18),$C70,"0"))</f>
        <v>0</v>
      </c>
      <c r="ER70" s="222">
        <v>4745</v>
      </c>
      <c r="ES70" s="224">
        <f t="shared" ref="ES70:ES124" si="107">73*((EQ70+EQ71)/2)</f>
        <v>0</v>
      </c>
      <c r="ET70" s="222">
        <v>4745</v>
      </c>
      <c r="EU70" s="226" t="str">
        <f t="shared" ref="EU70:EU87" si="108">IF(EQ70="0"," ",EQ70)</f>
        <v xml:space="preserve"> </v>
      </c>
      <c r="EV70" s="312">
        <v>4745</v>
      </c>
      <c r="EW70" s="286">
        <f>EQ70*Wirtschaftlichkeit!$U$5/Wirtschaftlichkeit!$U$7</f>
        <v>0</v>
      </c>
      <c r="EX70" s="284">
        <f t="shared" ref="EX70:EX125" si="109">73*((EW70+EW71)/2)</f>
        <v>0</v>
      </c>
      <c r="EZ70" s="222">
        <v>4745</v>
      </c>
      <c r="FA70" s="225" t="str">
        <f>IF($C70&gt;=Wirtschaftlichkeit!$V$8,Wirtschaftlichkeit!$V$8,IF(AND($C70&lt;=Wirtschaftlichkeit!$V$8,$C70&gt;=Wirtschaftlichkeit!$V$8*Eingabemaske!$B$18),$C70,"0"))</f>
        <v>0</v>
      </c>
      <c r="FB70" s="222">
        <v>4745</v>
      </c>
      <c r="FC70" s="224">
        <f t="shared" ref="FC70:FC124" si="110">73*((FA70+FA71)/2)</f>
        <v>0</v>
      </c>
      <c r="FD70" s="222">
        <v>4745</v>
      </c>
      <c r="FE70" s="226" t="str">
        <f t="shared" ref="FE70:FE87" si="111">IF(FA70="0"," ",FA70)</f>
        <v xml:space="preserve"> </v>
      </c>
      <c r="FF70" s="312">
        <v>4745</v>
      </c>
      <c r="FG70" s="286">
        <f>FA70*Wirtschaftlichkeit!$V$5/Wirtschaftlichkeit!$V$7</f>
        <v>0</v>
      </c>
      <c r="FH70" s="284">
        <f t="shared" ref="FH70:FH125" si="112">73*((FG70+FG71)/2)</f>
        <v>0</v>
      </c>
      <c r="FJ70" s="222">
        <v>4745</v>
      </c>
      <c r="FK70" s="225" t="str">
        <f>IF($C70&gt;=Wirtschaftlichkeit!$W$8,Wirtschaftlichkeit!$W$8,IF(AND($C70&lt;=Wirtschaftlichkeit!$W$8,$C70&gt;=Wirtschaftlichkeit!$W$8*Eingabemaske!$B$18),$C70,"0"))</f>
        <v>0</v>
      </c>
      <c r="FL70" s="222">
        <v>4745</v>
      </c>
      <c r="FM70" s="224">
        <f t="shared" ref="FM70:FM124" si="113">73*((FK70+FK71)/2)</f>
        <v>0</v>
      </c>
      <c r="FN70" s="222">
        <v>4745</v>
      </c>
      <c r="FO70" s="226" t="str">
        <f t="shared" ref="FO70:FO87" si="114">IF(FK70="0"," ",FK70)</f>
        <v xml:space="preserve"> </v>
      </c>
      <c r="FP70" s="312">
        <v>4745</v>
      </c>
      <c r="FQ70" s="286">
        <f>FK70*Wirtschaftlichkeit!$W$5/Wirtschaftlichkeit!$W$7</f>
        <v>0</v>
      </c>
      <c r="FR70" s="284">
        <f t="shared" ref="FR70:FR125" si="115">73*((FQ70+FQ71)/2)</f>
        <v>0</v>
      </c>
      <c r="FT70" s="222">
        <v>4745</v>
      </c>
      <c r="FU70" s="225" t="str">
        <f>IF($C70&gt;=Wirtschaftlichkeit!$X$8,Wirtschaftlichkeit!$X$8,IF(AND($C70&lt;=Wirtschaftlichkeit!$X$8,$C70&gt;=Wirtschaftlichkeit!$X$8*Eingabemaske!$B$18),$C70,"0"))</f>
        <v>0</v>
      </c>
      <c r="FV70" s="222">
        <v>4745</v>
      </c>
      <c r="FW70" s="224">
        <f t="shared" ref="FW70:FW124" si="116">73*((FU70+FU71)/2)</f>
        <v>0</v>
      </c>
      <c r="FX70" s="222">
        <v>4745</v>
      </c>
      <c r="FY70" s="226" t="str">
        <f t="shared" ref="FY70:FY87" si="117">IF(FU70="0"," ",FU70)</f>
        <v xml:space="preserve"> </v>
      </c>
      <c r="FZ70" s="312">
        <v>4745</v>
      </c>
      <c r="GA70" s="286">
        <f>FU70*Wirtschaftlichkeit!$X$5/Wirtschaftlichkeit!$X$7</f>
        <v>0</v>
      </c>
      <c r="GB70" s="284">
        <f t="shared" ref="GB70:GB125" si="118">73*((GA70+GA71)/2)</f>
        <v>0</v>
      </c>
      <c r="GD70" s="222">
        <v>4745</v>
      </c>
      <c r="GE70" s="225" t="str">
        <f>IF($C70&gt;=Wirtschaftlichkeit!$Y$8,Wirtschaftlichkeit!$Y$8,IF(AND($C70&lt;=Wirtschaftlichkeit!$Y$8,$C70&gt;=Wirtschaftlichkeit!$Y$8*Eingabemaske!$B$18),$C70,"0"))</f>
        <v>0</v>
      </c>
      <c r="GF70" s="222">
        <v>4745</v>
      </c>
      <c r="GG70" s="224">
        <f t="shared" ref="GG70:GG124" si="119">73*((GE70+GE71)/2)</f>
        <v>0</v>
      </c>
      <c r="GH70" s="222">
        <v>4745</v>
      </c>
      <c r="GI70" s="226" t="str">
        <f t="shared" ref="GI70:GI87" si="120">IF(GE70="0"," ",GE70)</f>
        <v xml:space="preserve"> </v>
      </c>
      <c r="GJ70" s="312">
        <v>4745</v>
      </c>
      <c r="GK70" s="286">
        <f>GE70*Wirtschaftlichkeit!$Y$5/Wirtschaftlichkeit!$Y$7</f>
        <v>0</v>
      </c>
      <c r="GL70" s="284">
        <f t="shared" ref="GL70:GL125" si="121">73*((GK70+GK71)/2)</f>
        <v>0</v>
      </c>
      <c r="GN70" s="222">
        <v>4745</v>
      </c>
      <c r="GO70" s="225" t="str">
        <f>IF($C70&gt;=Wirtschaftlichkeit!$Z$8,Wirtschaftlichkeit!$Z$8,IF(AND($C70&lt;=Wirtschaftlichkeit!$Z$8,$C70&gt;=Wirtschaftlichkeit!$Z$8*Eingabemaske!$B$18),$C70,"0"))</f>
        <v>0</v>
      </c>
      <c r="GP70" s="222">
        <v>4745</v>
      </c>
      <c r="GQ70" s="224">
        <f t="shared" ref="GQ70:GQ124" si="122">73*((GO70+GO71)/2)</f>
        <v>0</v>
      </c>
      <c r="GR70" s="222">
        <v>4745</v>
      </c>
      <c r="GS70" s="226" t="str">
        <f t="shared" ref="GS70:GS87" si="123">IF(GO70="0"," ",GO70)</f>
        <v xml:space="preserve"> </v>
      </c>
      <c r="GT70" s="312">
        <v>4745</v>
      </c>
      <c r="GU70" s="286">
        <f>GO70*Wirtschaftlichkeit!$Z$5/Wirtschaftlichkeit!$Z$7</f>
        <v>0</v>
      </c>
      <c r="GV70" s="284">
        <f t="shared" ref="GV70:GV125" si="124">73*((GU70+GU71)/2)</f>
        <v>0</v>
      </c>
      <c r="GW70" s="266"/>
      <c r="GX70" s="258">
        <v>4745</v>
      </c>
      <c r="GY70" s="270" t="str">
        <f>IF(Berechnung_Diagramme!$C$28=Berechnungen_Lastgang!$F$2,Berechnungen_Lastgang!G70,IF(Berechnung_Diagramme!$C$28=Berechnungen_Lastgang!$P$2,Berechnungen_Lastgang!Q70,IF(Berechnung_Diagramme!$C$28=Berechnungen_Lastgang!$Z$2,Berechnungen_Lastgang!AA70,IF(Berechnung_Diagramme!$C$28=Berechnungen_Lastgang!$AJ$2,Berechnungen_Lastgang!AK70,IF(Berechnung_Diagramme!$C$28=Berechnungen_Lastgang!$AT$2,Berechnungen_Lastgang!AU70,IF(Berechnung_Diagramme!$C$28=Berechnungen_Lastgang!$BD$2,Berechnungen_Lastgang!BE70,IF(Berechnung_Diagramme!$C$28=Berechnungen_Lastgang!$BN$2,Berechnungen_Lastgang!BO70,IF(Berechnung_Diagramme!$C$28=Berechnungen_Lastgang!$BX$2,Berechnungen_Lastgang!BY70,IF(Berechnung_Diagramme!$C$28=Berechnungen_Lastgang!$CH$2,Berechnungen_Lastgang!CI70,IF(Berechnung_Diagramme!$C$28=Berechnungen_Lastgang!$CR$2,Berechnungen_Lastgang!CS70,IF(Berechnung_Diagramme!$C$28=Berechnungen_Lastgang!$DB$2,Berechnungen_Lastgang!DC70,IF(Berechnung_Diagramme!$C$28=Berechnungen_Lastgang!$DL$2,Berechnungen_Lastgang!DM70,IF(Berechnung_Diagramme!$C$28=Berechnungen_Lastgang!$DV$2,Berechnungen_Lastgang!DW70,IF(Berechnung_Diagramme!$C$28=Berechnungen_Lastgang!$EF$2,Berechnungen_Lastgang!EG70,IF(Berechnung_Diagramme!$C$28=Berechnungen_Lastgang!$EP$2,Berechnungen_Lastgang!EQ70,IF(Berechnung_Diagramme!$C$28=Berechnungen_Lastgang!$EZ$2,Berechnungen_Lastgang!FA70,IF(Berechnung_Diagramme!$C$28=Berechnungen_Lastgang!$FJ$2,Berechnungen_Lastgang!FK70,IF(Berechnung_Diagramme!$C$28=Berechnungen_Lastgang!$FT$2,Berechnungen_Lastgang!FU70,IF(Berechnung_Diagramme!$C$28=Berechnungen_Lastgang!$GD$2,Berechnungen_Lastgang!GE70,IF(Berechnung_Diagramme!$C$28=Berechnungen_Lastgang!$GN$2,Berechnungen_Lastgang!GO70,""))))))))))))))))))))</f>
        <v>0</v>
      </c>
    </row>
    <row r="71" spans="2:207" x14ac:dyDescent="0.25">
      <c r="B71" s="64">
        <v>4818</v>
      </c>
      <c r="C71" s="67">
        <f>C70+((C75-C70)/(B75-B70))*(B71-B70)</f>
        <v>9.2777399999999997</v>
      </c>
      <c r="D71" s="66">
        <f t="shared" si="64"/>
        <v>662.31513000000007</v>
      </c>
      <c r="F71" s="64">
        <v>4818</v>
      </c>
      <c r="G71" s="225">
        <f>IF($C71&gt;=Wirtschaftlichkeit!$G$8,Wirtschaftlichkeit!$G$8,IF(AND($C71&lt;=Wirtschaftlichkeit!$G$8,$C71&gt;=Wirtschaftlichkeit!$G$8*Eingabemaske!$B$18),$C71,"0"))</f>
        <v>2.8333333333333335</v>
      </c>
      <c r="H71" s="64">
        <v>4818</v>
      </c>
      <c r="I71" s="66">
        <f t="shared" si="65"/>
        <v>206.83333333333334</v>
      </c>
      <c r="J71" s="64">
        <v>4818</v>
      </c>
      <c r="K71" s="71">
        <f t="shared" si="66"/>
        <v>2.8333333333333335</v>
      </c>
      <c r="L71" s="312">
        <v>4818</v>
      </c>
      <c r="M71" s="286">
        <f>G71*Wirtschaftlichkeit!$G$5/Wirtschaftlichkeit!$G$7</f>
        <v>1</v>
      </c>
      <c r="N71" s="284">
        <f t="shared" si="67"/>
        <v>73</v>
      </c>
      <c r="P71" s="222">
        <v>4818</v>
      </c>
      <c r="Q71" s="225">
        <f>IF($C71&gt;=Wirtschaftlichkeit!$H$8,Wirtschaftlichkeit!$H$8,IF(AND($C71&lt;=Wirtschaftlichkeit!$H$8,$C71&gt;=Wirtschaftlichkeit!$H$8*Eingabemaske!$B$18),$C71,"0"))</f>
        <v>5.5876288659793811</v>
      </c>
      <c r="R71" s="222">
        <v>4818</v>
      </c>
      <c r="S71" s="224">
        <f t="shared" si="68"/>
        <v>407.89690721649481</v>
      </c>
      <c r="T71" s="222">
        <v>4818</v>
      </c>
      <c r="U71" s="226">
        <f t="shared" si="69"/>
        <v>5.5876288659793811</v>
      </c>
      <c r="V71" s="312">
        <v>4818</v>
      </c>
      <c r="W71" s="286">
        <f>Q71*Wirtschaftlichkeit!$H$5/Wirtschaftlichkeit!$H$7</f>
        <v>2</v>
      </c>
      <c r="X71" s="284">
        <f t="shared" si="70"/>
        <v>146</v>
      </c>
      <c r="Z71" s="222">
        <v>4818</v>
      </c>
      <c r="AA71" s="225">
        <f>IF($C71&gt;=Wirtschaftlichkeit!$I$8,Wirtschaftlichkeit!$I$8,IF(AND($C71&lt;=Wirtschaftlichkeit!$I$8,$C71&gt;=Wirtschaftlichkeit!$I$8*Eingabemaske!$B$18),$C71,"0"))</f>
        <v>8.2471643149712612</v>
      </c>
      <c r="AB71" s="222">
        <v>4818</v>
      </c>
      <c r="AC71" s="224">
        <f t="shared" si="71"/>
        <v>602.04299499290209</v>
      </c>
      <c r="AD71" s="222">
        <v>4818</v>
      </c>
      <c r="AE71" s="226">
        <f t="shared" si="72"/>
        <v>8.2471643149712612</v>
      </c>
      <c r="AF71" s="312">
        <v>4818</v>
      </c>
      <c r="AG71" s="286">
        <f>AA71*Wirtschaftlichkeit!$I$5/Wirtschaftlichkeit!$I$7</f>
        <v>3.0000000000000004</v>
      </c>
      <c r="AH71" s="284">
        <f t="shared" si="73"/>
        <v>219.00000000000003</v>
      </c>
      <c r="AJ71" s="222">
        <v>4818</v>
      </c>
      <c r="AK71" s="225">
        <f>IF($C71&gt;=Wirtschaftlichkeit!$J$8,Wirtschaftlichkeit!$J$8,IF(AND($C71&lt;=Wirtschaftlichkeit!$J$8,$C71&gt;=Wirtschaftlichkeit!$J$8*Eingabemaske!$B$18),$C71,"0"))</f>
        <v>9.2777399999999997</v>
      </c>
      <c r="AL71" s="222">
        <v>4818</v>
      </c>
      <c r="AM71" s="224">
        <f t="shared" si="74"/>
        <v>662.31513000000007</v>
      </c>
      <c r="AN71" s="222">
        <v>4818</v>
      </c>
      <c r="AO71" s="226">
        <f t="shared" si="75"/>
        <v>9.2777399999999997</v>
      </c>
      <c r="AP71" s="312">
        <v>4818</v>
      </c>
      <c r="AQ71" s="286">
        <f>AK71*Wirtschaftlichkeit!$J$5/Wirtschaftlichkeit!$J$7</f>
        <v>3.5218142200915161</v>
      </c>
      <c r="AR71" s="284">
        <f t="shared" si="76"/>
        <v>251.41368943468575</v>
      </c>
      <c r="AT71" s="222">
        <v>4818</v>
      </c>
      <c r="AU71" s="225">
        <f>IF($C71&gt;=Wirtschaftlichkeit!$K$8,Wirtschaftlichkeit!$K$8,IF(AND($C71&lt;=Wirtschaftlichkeit!$K$8,$C71&gt;=Wirtschaftlichkeit!$K$8*Eingabemaske!$B$18),$C71,"0"))</f>
        <v>9.2777399999999997</v>
      </c>
      <c r="AV71" s="222">
        <v>4818</v>
      </c>
      <c r="AW71" s="224">
        <f t="shared" si="77"/>
        <v>662.31513000000007</v>
      </c>
      <c r="AX71" s="222">
        <v>4818</v>
      </c>
      <c r="AY71" s="226">
        <f t="shared" si="78"/>
        <v>9.2777399999999997</v>
      </c>
      <c r="AZ71" s="312">
        <v>4818</v>
      </c>
      <c r="BA71" s="286">
        <f>AU71*Wirtschaftlichkeit!$K$5/Wirtschaftlichkeit!$K$7</f>
        <v>3.6414361517805642</v>
      </c>
      <c r="BB71" s="284">
        <f t="shared" si="79"/>
        <v>259.95320608825472</v>
      </c>
      <c r="BD71" s="222">
        <v>4818</v>
      </c>
      <c r="BE71" s="225">
        <f>IF($C71&gt;=Wirtschaftlichkeit!$L$8,Wirtschaftlichkeit!$L$8,IF(AND($C71&lt;=Wirtschaftlichkeit!$L$8,$C71&gt;=Wirtschaftlichkeit!$L$8*Eingabemaske!$B$18),$C71,"0"))</f>
        <v>9.2777399999999997</v>
      </c>
      <c r="BF71" s="222">
        <v>4818</v>
      </c>
      <c r="BG71" s="224">
        <f t="shared" si="80"/>
        <v>662.31513000000007</v>
      </c>
      <c r="BH71" s="222">
        <v>4818</v>
      </c>
      <c r="BI71" s="226">
        <f t="shared" si="81"/>
        <v>9.2777399999999997</v>
      </c>
      <c r="BJ71" s="312">
        <v>4818</v>
      </c>
      <c r="BK71" s="286">
        <f>BE71*Wirtschaftlichkeit!$L$5/Wirtschaftlichkeit!$L$7</f>
        <v>3.7430640359744585</v>
      </c>
      <c r="BL71" s="284">
        <f t="shared" si="82"/>
        <v>267.20817177294771</v>
      </c>
      <c r="BN71" s="222">
        <v>4818</v>
      </c>
      <c r="BO71" s="225">
        <f>IF($C71&gt;=Wirtschaftlichkeit!$M$8,Wirtschaftlichkeit!$M$8,IF(AND($C71&lt;=Wirtschaftlichkeit!$M$8,$C71&gt;=Wirtschaftlichkeit!$M$8*Eingabemaske!$B$18),$C71,"0"))</f>
        <v>9.2777399999999997</v>
      </c>
      <c r="BP71" s="222">
        <v>4818</v>
      </c>
      <c r="BQ71" s="224">
        <f t="shared" si="83"/>
        <v>662.31513000000007</v>
      </c>
      <c r="BR71" s="222">
        <v>4818</v>
      </c>
      <c r="BS71" s="226">
        <f t="shared" si="84"/>
        <v>9.2777399999999997</v>
      </c>
      <c r="BT71" s="312">
        <v>4818</v>
      </c>
      <c r="BU71" s="286">
        <f>BO71*Wirtschaftlichkeit!$M$5/Wirtschaftlichkeit!$M$7</f>
        <v>3.8318539512671541</v>
      </c>
      <c r="BV71" s="284">
        <f t="shared" si="85"/>
        <v>273.5466663082301</v>
      </c>
      <c r="BX71" s="222">
        <v>4818</v>
      </c>
      <c r="BY71" s="225" t="str">
        <f>IF($C71&gt;=Wirtschaftlichkeit!$N$8,Wirtschaftlichkeit!$N$8,IF(AND($C71&lt;=Wirtschaftlichkeit!$N$8,$C71&gt;=Wirtschaftlichkeit!$N$8*Eingabemaske!$B$18),$C71,"0"))</f>
        <v>0</v>
      </c>
      <c r="BZ71" s="222">
        <v>4818</v>
      </c>
      <c r="CA71" s="224">
        <f t="shared" si="86"/>
        <v>0</v>
      </c>
      <c r="CB71" s="222">
        <v>4818</v>
      </c>
      <c r="CC71" s="226" t="str">
        <f t="shared" si="87"/>
        <v xml:space="preserve"> </v>
      </c>
      <c r="CD71" s="312">
        <v>4818</v>
      </c>
      <c r="CE71" s="286">
        <f>BY71*Wirtschaftlichkeit!$N$5/Wirtschaftlichkeit!$N$7</f>
        <v>0</v>
      </c>
      <c r="CF71" s="284">
        <f t="shared" si="88"/>
        <v>0</v>
      </c>
      <c r="CH71" s="222">
        <v>4818</v>
      </c>
      <c r="CI71" s="225" t="str">
        <f>IF($C71&gt;=Wirtschaftlichkeit!$O$8,Wirtschaftlichkeit!$O$8,IF(AND($C71&lt;=Wirtschaftlichkeit!$O$8,$C71&gt;=Wirtschaftlichkeit!$O$8*Eingabemaske!$B$18),$C71,"0"))</f>
        <v>0</v>
      </c>
      <c r="CJ71" s="222">
        <v>4818</v>
      </c>
      <c r="CK71" s="224">
        <f t="shared" si="89"/>
        <v>0</v>
      </c>
      <c r="CL71" s="222">
        <v>4818</v>
      </c>
      <c r="CM71" s="226" t="str">
        <f t="shared" si="90"/>
        <v xml:space="preserve"> </v>
      </c>
      <c r="CN71" s="312">
        <v>4818</v>
      </c>
      <c r="CO71" s="286">
        <f>CI71*Wirtschaftlichkeit!$O$5/Wirtschaftlichkeit!$O$7</f>
        <v>0</v>
      </c>
      <c r="CP71" s="284">
        <f t="shared" si="91"/>
        <v>0</v>
      </c>
      <c r="CR71" s="222">
        <v>4818</v>
      </c>
      <c r="CS71" s="225" t="str">
        <f>IF($C71&gt;=Wirtschaftlichkeit!$P$8,Wirtschaftlichkeit!$P$8,IF(AND($C71&lt;=Wirtschaftlichkeit!$P$8,$C71&gt;=Wirtschaftlichkeit!$P$8*Eingabemaske!$B$18),$C71,"0"))</f>
        <v>0</v>
      </c>
      <c r="CT71" s="222">
        <v>4818</v>
      </c>
      <c r="CU71" s="224">
        <f t="shared" si="92"/>
        <v>0</v>
      </c>
      <c r="CV71" s="222">
        <v>4818</v>
      </c>
      <c r="CW71" s="226" t="str">
        <f t="shared" si="93"/>
        <v xml:space="preserve"> </v>
      </c>
      <c r="CX71" s="312">
        <v>4818</v>
      </c>
      <c r="CY71" s="286">
        <f>CS71*Wirtschaftlichkeit!$P$5/Wirtschaftlichkeit!$P$7</f>
        <v>0</v>
      </c>
      <c r="CZ71" s="284">
        <f t="shared" si="94"/>
        <v>0</v>
      </c>
      <c r="DB71" s="222">
        <v>4818</v>
      </c>
      <c r="DC71" s="225" t="str">
        <f>IF($C71&gt;=Wirtschaftlichkeit!$Q$8,Wirtschaftlichkeit!$Q$8,IF(AND($C71&lt;=Wirtschaftlichkeit!$Q$8,$C71&gt;=Wirtschaftlichkeit!$Q$8*Eingabemaske!$B$18),$C71,"0"))</f>
        <v>0</v>
      </c>
      <c r="DD71" s="222">
        <v>4818</v>
      </c>
      <c r="DE71" s="224">
        <f t="shared" si="95"/>
        <v>0</v>
      </c>
      <c r="DF71" s="222">
        <v>4818</v>
      </c>
      <c r="DG71" s="226" t="str">
        <f t="shared" si="96"/>
        <v xml:space="preserve"> </v>
      </c>
      <c r="DH71" s="312">
        <v>4818</v>
      </c>
      <c r="DI71" s="286">
        <f>DC71*Wirtschaftlichkeit!$Q$5/Wirtschaftlichkeit!$Q$7</f>
        <v>0</v>
      </c>
      <c r="DJ71" s="284">
        <f t="shared" si="97"/>
        <v>0</v>
      </c>
      <c r="DL71" s="222">
        <v>4818</v>
      </c>
      <c r="DM71" s="225" t="str">
        <f>IF($C71&gt;=Wirtschaftlichkeit!$R$8,Wirtschaftlichkeit!$R$8,IF(AND($C71&lt;=Wirtschaftlichkeit!$R$8,$C71&gt;=Wirtschaftlichkeit!$R$8*Eingabemaske!$B$18),$C71,"0"))</f>
        <v>0</v>
      </c>
      <c r="DN71" s="222">
        <v>4818</v>
      </c>
      <c r="DO71" s="224">
        <f t="shared" si="98"/>
        <v>0</v>
      </c>
      <c r="DP71" s="222">
        <v>4818</v>
      </c>
      <c r="DQ71" s="226" t="str">
        <f t="shared" si="99"/>
        <v xml:space="preserve"> </v>
      </c>
      <c r="DR71" s="312">
        <v>4818</v>
      </c>
      <c r="DS71" s="286">
        <f>DM71*Wirtschaftlichkeit!$R$5/Wirtschaftlichkeit!$R$7</f>
        <v>0</v>
      </c>
      <c r="DT71" s="284">
        <f t="shared" si="100"/>
        <v>0</v>
      </c>
      <c r="DV71" s="222">
        <v>4818</v>
      </c>
      <c r="DW71" s="225" t="str">
        <f>IF($C71&gt;=Wirtschaftlichkeit!$S$8,Wirtschaftlichkeit!$S$8,IF(AND($C71&lt;=Wirtschaftlichkeit!$S$8,$C71&gt;=Wirtschaftlichkeit!$S$8*Eingabemaske!$B$18),$C71,"0"))</f>
        <v>0</v>
      </c>
      <c r="DX71" s="222">
        <v>4818</v>
      </c>
      <c r="DY71" s="224">
        <f t="shared" si="101"/>
        <v>0</v>
      </c>
      <c r="DZ71" s="222">
        <v>4818</v>
      </c>
      <c r="EA71" s="226" t="str">
        <f t="shared" si="102"/>
        <v xml:space="preserve"> </v>
      </c>
      <c r="EB71" s="312">
        <v>4818</v>
      </c>
      <c r="EC71" s="286">
        <f>DW71*Wirtschaftlichkeit!$S$5/Wirtschaftlichkeit!$S$7</f>
        <v>0</v>
      </c>
      <c r="ED71" s="284">
        <f t="shared" si="103"/>
        <v>0</v>
      </c>
      <c r="EF71" s="222">
        <v>4818</v>
      </c>
      <c r="EG71" s="225" t="str">
        <f>IF($C71&gt;=Wirtschaftlichkeit!$T$8,Wirtschaftlichkeit!$T$8,IF(AND($C71&lt;=Wirtschaftlichkeit!$T$8,$C71&gt;=Wirtschaftlichkeit!$T$8*Eingabemaske!$B$18),$C71,"0"))</f>
        <v>0</v>
      </c>
      <c r="EH71" s="222">
        <v>4818</v>
      </c>
      <c r="EI71" s="224">
        <f t="shared" si="104"/>
        <v>0</v>
      </c>
      <c r="EJ71" s="222">
        <v>4818</v>
      </c>
      <c r="EK71" s="226" t="str">
        <f t="shared" si="105"/>
        <v xml:space="preserve"> </v>
      </c>
      <c r="EL71" s="312">
        <v>4818</v>
      </c>
      <c r="EM71" s="286">
        <f>EG71*Wirtschaftlichkeit!$T$5/Wirtschaftlichkeit!$T$7</f>
        <v>0</v>
      </c>
      <c r="EN71" s="284">
        <f t="shared" si="106"/>
        <v>0</v>
      </c>
      <c r="EP71" s="222">
        <v>4818</v>
      </c>
      <c r="EQ71" s="225" t="str">
        <f>IF($C71&gt;=Wirtschaftlichkeit!$U$8,Wirtschaftlichkeit!$U$8,IF(AND($C71&lt;=Wirtschaftlichkeit!$U$8,$C71&gt;=Wirtschaftlichkeit!$U$8*Eingabemaske!$B$18),$C71,"0"))</f>
        <v>0</v>
      </c>
      <c r="ER71" s="222">
        <v>4818</v>
      </c>
      <c r="ES71" s="224">
        <f t="shared" si="107"/>
        <v>0</v>
      </c>
      <c r="ET71" s="222">
        <v>4818</v>
      </c>
      <c r="EU71" s="226" t="str">
        <f t="shared" si="108"/>
        <v xml:space="preserve"> </v>
      </c>
      <c r="EV71" s="312">
        <v>4818</v>
      </c>
      <c r="EW71" s="286">
        <f>EQ71*Wirtschaftlichkeit!$U$5/Wirtschaftlichkeit!$U$7</f>
        <v>0</v>
      </c>
      <c r="EX71" s="284">
        <f t="shared" si="109"/>
        <v>0</v>
      </c>
      <c r="EZ71" s="222">
        <v>4818</v>
      </c>
      <c r="FA71" s="225" t="str">
        <f>IF($C71&gt;=Wirtschaftlichkeit!$V$8,Wirtschaftlichkeit!$V$8,IF(AND($C71&lt;=Wirtschaftlichkeit!$V$8,$C71&gt;=Wirtschaftlichkeit!$V$8*Eingabemaske!$B$18),$C71,"0"))</f>
        <v>0</v>
      </c>
      <c r="FB71" s="222">
        <v>4818</v>
      </c>
      <c r="FC71" s="224">
        <f t="shared" si="110"/>
        <v>0</v>
      </c>
      <c r="FD71" s="222">
        <v>4818</v>
      </c>
      <c r="FE71" s="226" t="str">
        <f t="shared" si="111"/>
        <v xml:space="preserve"> </v>
      </c>
      <c r="FF71" s="312">
        <v>4818</v>
      </c>
      <c r="FG71" s="286">
        <f>FA71*Wirtschaftlichkeit!$V$5/Wirtschaftlichkeit!$V$7</f>
        <v>0</v>
      </c>
      <c r="FH71" s="284">
        <f t="shared" si="112"/>
        <v>0</v>
      </c>
      <c r="FJ71" s="222">
        <v>4818</v>
      </c>
      <c r="FK71" s="225" t="str">
        <f>IF($C71&gt;=Wirtschaftlichkeit!$W$8,Wirtschaftlichkeit!$W$8,IF(AND($C71&lt;=Wirtschaftlichkeit!$W$8,$C71&gt;=Wirtschaftlichkeit!$W$8*Eingabemaske!$B$18),$C71,"0"))</f>
        <v>0</v>
      </c>
      <c r="FL71" s="222">
        <v>4818</v>
      </c>
      <c r="FM71" s="224">
        <f t="shared" si="113"/>
        <v>0</v>
      </c>
      <c r="FN71" s="222">
        <v>4818</v>
      </c>
      <c r="FO71" s="226" t="str">
        <f t="shared" si="114"/>
        <v xml:space="preserve"> </v>
      </c>
      <c r="FP71" s="312">
        <v>4818</v>
      </c>
      <c r="FQ71" s="286">
        <f>FK71*Wirtschaftlichkeit!$W$5/Wirtschaftlichkeit!$W$7</f>
        <v>0</v>
      </c>
      <c r="FR71" s="284">
        <f t="shared" si="115"/>
        <v>0</v>
      </c>
      <c r="FT71" s="222">
        <v>4818</v>
      </c>
      <c r="FU71" s="225" t="str">
        <f>IF($C71&gt;=Wirtschaftlichkeit!$X$8,Wirtschaftlichkeit!$X$8,IF(AND($C71&lt;=Wirtschaftlichkeit!$X$8,$C71&gt;=Wirtschaftlichkeit!$X$8*Eingabemaske!$B$18),$C71,"0"))</f>
        <v>0</v>
      </c>
      <c r="FV71" s="222">
        <v>4818</v>
      </c>
      <c r="FW71" s="224">
        <f t="shared" si="116"/>
        <v>0</v>
      </c>
      <c r="FX71" s="222">
        <v>4818</v>
      </c>
      <c r="FY71" s="226" t="str">
        <f t="shared" si="117"/>
        <v xml:space="preserve"> </v>
      </c>
      <c r="FZ71" s="312">
        <v>4818</v>
      </c>
      <c r="GA71" s="286">
        <f>FU71*Wirtschaftlichkeit!$X$5/Wirtschaftlichkeit!$X$7</f>
        <v>0</v>
      </c>
      <c r="GB71" s="284">
        <f t="shared" si="118"/>
        <v>0</v>
      </c>
      <c r="GD71" s="222">
        <v>4818</v>
      </c>
      <c r="GE71" s="225" t="str">
        <f>IF($C71&gt;=Wirtschaftlichkeit!$Y$8,Wirtschaftlichkeit!$Y$8,IF(AND($C71&lt;=Wirtschaftlichkeit!$Y$8,$C71&gt;=Wirtschaftlichkeit!$Y$8*Eingabemaske!$B$18),$C71,"0"))</f>
        <v>0</v>
      </c>
      <c r="GF71" s="222">
        <v>4818</v>
      </c>
      <c r="GG71" s="224">
        <f t="shared" si="119"/>
        <v>0</v>
      </c>
      <c r="GH71" s="222">
        <v>4818</v>
      </c>
      <c r="GI71" s="226" t="str">
        <f t="shared" si="120"/>
        <v xml:space="preserve"> </v>
      </c>
      <c r="GJ71" s="312">
        <v>4818</v>
      </c>
      <c r="GK71" s="286">
        <f>GE71*Wirtschaftlichkeit!$Y$5/Wirtschaftlichkeit!$Y$7</f>
        <v>0</v>
      </c>
      <c r="GL71" s="284">
        <f t="shared" si="121"/>
        <v>0</v>
      </c>
      <c r="GN71" s="222">
        <v>4818</v>
      </c>
      <c r="GO71" s="225" t="str">
        <f>IF($C71&gt;=Wirtschaftlichkeit!$Z$8,Wirtschaftlichkeit!$Z$8,IF(AND($C71&lt;=Wirtschaftlichkeit!$Z$8,$C71&gt;=Wirtschaftlichkeit!$Z$8*Eingabemaske!$B$18),$C71,"0"))</f>
        <v>0</v>
      </c>
      <c r="GP71" s="222">
        <v>4818</v>
      </c>
      <c r="GQ71" s="224">
        <f t="shared" si="122"/>
        <v>0</v>
      </c>
      <c r="GR71" s="222">
        <v>4818</v>
      </c>
      <c r="GS71" s="226" t="str">
        <f t="shared" si="123"/>
        <v xml:space="preserve"> </v>
      </c>
      <c r="GT71" s="312">
        <v>4818</v>
      </c>
      <c r="GU71" s="286">
        <f>GO71*Wirtschaftlichkeit!$Z$5/Wirtschaftlichkeit!$Z$7</f>
        <v>0</v>
      </c>
      <c r="GV71" s="284">
        <f t="shared" si="124"/>
        <v>0</v>
      </c>
      <c r="GW71" s="266"/>
      <c r="GX71" s="258">
        <v>4818</v>
      </c>
      <c r="GY71" s="270" t="str">
        <f>IF(Berechnung_Diagramme!$C$28=Berechnungen_Lastgang!$F$2,Berechnungen_Lastgang!G71,IF(Berechnung_Diagramme!$C$28=Berechnungen_Lastgang!$P$2,Berechnungen_Lastgang!Q71,IF(Berechnung_Diagramme!$C$28=Berechnungen_Lastgang!$Z$2,Berechnungen_Lastgang!AA71,IF(Berechnung_Diagramme!$C$28=Berechnungen_Lastgang!$AJ$2,Berechnungen_Lastgang!AK71,IF(Berechnung_Diagramme!$C$28=Berechnungen_Lastgang!$AT$2,Berechnungen_Lastgang!AU71,IF(Berechnung_Diagramme!$C$28=Berechnungen_Lastgang!$BD$2,Berechnungen_Lastgang!BE71,IF(Berechnung_Diagramme!$C$28=Berechnungen_Lastgang!$BN$2,Berechnungen_Lastgang!BO71,IF(Berechnung_Diagramme!$C$28=Berechnungen_Lastgang!$BX$2,Berechnungen_Lastgang!BY71,IF(Berechnung_Diagramme!$C$28=Berechnungen_Lastgang!$CH$2,Berechnungen_Lastgang!CI71,IF(Berechnung_Diagramme!$C$28=Berechnungen_Lastgang!$CR$2,Berechnungen_Lastgang!CS71,IF(Berechnung_Diagramme!$C$28=Berechnungen_Lastgang!$DB$2,Berechnungen_Lastgang!DC71,IF(Berechnung_Diagramme!$C$28=Berechnungen_Lastgang!$DL$2,Berechnungen_Lastgang!DM71,IF(Berechnung_Diagramme!$C$28=Berechnungen_Lastgang!$DV$2,Berechnungen_Lastgang!DW71,IF(Berechnung_Diagramme!$C$28=Berechnungen_Lastgang!$EF$2,Berechnungen_Lastgang!EG71,IF(Berechnung_Diagramme!$C$28=Berechnungen_Lastgang!$EP$2,Berechnungen_Lastgang!EQ71,IF(Berechnung_Diagramme!$C$28=Berechnungen_Lastgang!$EZ$2,Berechnungen_Lastgang!FA71,IF(Berechnung_Diagramme!$C$28=Berechnungen_Lastgang!$FJ$2,Berechnungen_Lastgang!FK71,IF(Berechnung_Diagramme!$C$28=Berechnungen_Lastgang!$FT$2,Berechnungen_Lastgang!FU71,IF(Berechnung_Diagramme!$C$28=Berechnungen_Lastgang!$GD$2,Berechnungen_Lastgang!GE71,IF(Berechnung_Diagramme!$C$28=Berechnungen_Lastgang!$GN$2,Berechnungen_Lastgang!GO71,""))))))))))))))))))))</f>
        <v>0</v>
      </c>
    </row>
    <row r="72" spans="2:207" x14ac:dyDescent="0.25">
      <c r="B72" s="64">
        <v>4891</v>
      </c>
      <c r="C72" s="67">
        <f>C71+((C75-C71)/(B75-B71))*(B72-B71)</f>
        <v>8.8678799999999995</v>
      </c>
      <c r="D72" s="66">
        <f t="shared" si="64"/>
        <v>632.39534999999989</v>
      </c>
      <c r="F72" s="64">
        <v>4891</v>
      </c>
      <c r="G72" s="225">
        <f>IF($C72&gt;=Wirtschaftlichkeit!$G$8,Wirtschaftlichkeit!$G$8,IF(AND($C72&lt;=Wirtschaftlichkeit!$G$8,$C72&gt;=Wirtschaftlichkeit!$G$8*Eingabemaske!$B$18),$C72,"0"))</f>
        <v>2.8333333333333335</v>
      </c>
      <c r="H72" s="64">
        <v>4891</v>
      </c>
      <c r="I72" s="66">
        <f t="shared" si="65"/>
        <v>206.83333333333334</v>
      </c>
      <c r="J72" s="64">
        <v>4891</v>
      </c>
      <c r="K72" s="71">
        <f t="shared" si="66"/>
        <v>2.8333333333333335</v>
      </c>
      <c r="L72" s="312">
        <v>4891</v>
      </c>
      <c r="M72" s="286">
        <f>G72*Wirtschaftlichkeit!$G$5/Wirtschaftlichkeit!$G$7</f>
        <v>1</v>
      </c>
      <c r="N72" s="284">
        <f t="shared" si="67"/>
        <v>73</v>
      </c>
      <c r="P72" s="222">
        <v>4891</v>
      </c>
      <c r="Q72" s="225">
        <f>IF($C72&gt;=Wirtschaftlichkeit!$H$8,Wirtschaftlichkeit!$H$8,IF(AND($C72&lt;=Wirtschaftlichkeit!$H$8,$C72&gt;=Wirtschaftlichkeit!$H$8*Eingabemaske!$B$18),$C72,"0"))</f>
        <v>5.5876288659793811</v>
      </c>
      <c r="R72" s="222">
        <v>4891</v>
      </c>
      <c r="S72" s="224">
        <f t="shared" si="68"/>
        <v>407.89690721649481</v>
      </c>
      <c r="T72" s="222">
        <v>4891</v>
      </c>
      <c r="U72" s="226">
        <f t="shared" si="69"/>
        <v>5.5876288659793811</v>
      </c>
      <c r="V72" s="312">
        <v>4891</v>
      </c>
      <c r="W72" s="286">
        <f>Q72*Wirtschaftlichkeit!$H$5/Wirtschaftlichkeit!$H$7</f>
        <v>2</v>
      </c>
      <c r="X72" s="284">
        <f t="shared" si="70"/>
        <v>146</v>
      </c>
      <c r="Z72" s="222">
        <v>4891</v>
      </c>
      <c r="AA72" s="225">
        <f>IF($C72&gt;=Wirtschaftlichkeit!$I$8,Wirtschaftlichkeit!$I$8,IF(AND($C72&lt;=Wirtschaftlichkeit!$I$8,$C72&gt;=Wirtschaftlichkeit!$I$8*Eingabemaske!$B$18),$C72,"0"))</f>
        <v>8.2471643149712612</v>
      </c>
      <c r="AB72" s="222">
        <v>4891</v>
      </c>
      <c r="AC72" s="224">
        <f t="shared" si="71"/>
        <v>602.04299499290209</v>
      </c>
      <c r="AD72" s="222">
        <v>4891</v>
      </c>
      <c r="AE72" s="226">
        <f t="shared" si="72"/>
        <v>8.2471643149712612</v>
      </c>
      <c r="AF72" s="312">
        <v>4891</v>
      </c>
      <c r="AG72" s="286">
        <f>AA72*Wirtschaftlichkeit!$I$5/Wirtschaftlichkeit!$I$7</f>
        <v>3.0000000000000004</v>
      </c>
      <c r="AH72" s="284">
        <f t="shared" si="73"/>
        <v>219.00000000000003</v>
      </c>
      <c r="AJ72" s="222">
        <v>4891</v>
      </c>
      <c r="AK72" s="225">
        <f>IF($C72&gt;=Wirtschaftlichkeit!$J$8,Wirtschaftlichkeit!$J$8,IF(AND($C72&lt;=Wirtschaftlichkeit!$J$8,$C72&gt;=Wirtschaftlichkeit!$J$8*Eingabemaske!$B$18),$C72,"0"))</f>
        <v>8.8678799999999995</v>
      </c>
      <c r="AL72" s="222">
        <v>4891</v>
      </c>
      <c r="AM72" s="224">
        <f t="shared" si="74"/>
        <v>632.39534999999989</v>
      </c>
      <c r="AN72" s="222">
        <v>4891</v>
      </c>
      <c r="AO72" s="226">
        <f t="shared" si="75"/>
        <v>8.8678799999999995</v>
      </c>
      <c r="AP72" s="312">
        <v>4891</v>
      </c>
      <c r="AQ72" s="286">
        <f>AK72*Wirtschaftlichkeit!$J$5/Wirtschaftlichkeit!$J$7</f>
        <v>3.3662320657902849</v>
      </c>
      <c r="AR72" s="284">
        <f t="shared" si="76"/>
        <v>240.05619217069585</v>
      </c>
      <c r="AT72" s="222">
        <v>4891</v>
      </c>
      <c r="AU72" s="225">
        <f>IF($C72&gt;=Wirtschaftlichkeit!$K$8,Wirtschaftlichkeit!$K$8,IF(AND($C72&lt;=Wirtschaftlichkeit!$K$8,$C72&gt;=Wirtschaftlichkeit!$K$8*Eingabemaske!$B$18),$C72,"0"))</f>
        <v>8.8678799999999995</v>
      </c>
      <c r="AV72" s="222">
        <v>4891</v>
      </c>
      <c r="AW72" s="224">
        <f t="shared" si="77"/>
        <v>632.39534999999989</v>
      </c>
      <c r="AX72" s="222">
        <v>4891</v>
      </c>
      <c r="AY72" s="226">
        <f t="shared" si="78"/>
        <v>8.8678799999999995</v>
      </c>
      <c r="AZ72" s="312">
        <v>4891</v>
      </c>
      <c r="BA72" s="286">
        <f>AU72*Wirtschaftlichkeit!$K$5/Wirtschaftlichkeit!$K$7</f>
        <v>3.4805694944729892</v>
      </c>
      <c r="BB72" s="284">
        <f t="shared" si="79"/>
        <v>248.20994010480172</v>
      </c>
      <c r="BD72" s="222">
        <v>4891</v>
      </c>
      <c r="BE72" s="225">
        <f>IF($C72&gt;=Wirtschaftlichkeit!$L$8,Wirtschaftlichkeit!$L$8,IF(AND($C72&lt;=Wirtschaftlichkeit!$L$8,$C72&gt;=Wirtschaftlichkeit!$L$8*Eingabemaske!$B$18),$C72,"0"))</f>
        <v>8.8678799999999995</v>
      </c>
      <c r="BF72" s="222">
        <v>4891</v>
      </c>
      <c r="BG72" s="224">
        <f t="shared" si="80"/>
        <v>632.39534999999989</v>
      </c>
      <c r="BH72" s="222">
        <v>4891</v>
      </c>
      <c r="BI72" s="226">
        <f t="shared" si="81"/>
        <v>8.8678799999999995</v>
      </c>
      <c r="BJ72" s="312">
        <v>4891</v>
      </c>
      <c r="BK72" s="286">
        <f>BE72*Wirtschaftlichkeit!$L$5/Wirtschaftlichkeit!$L$7</f>
        <v>3.5777077934213697</v>
      </c>
      <c r="BL72" s="284">
        <f t="shared" si="82"/>
        <v>255.13716606657229</v>
      </c>
      <c r="BN72" s="222">
        <v>4891</v>
      </c>
      <c r="BO72" s="225">
        <f>IF($C72&gt;=Wirtschaftlichkeit!$M$8,Wirtschaftlichkeit!$M$8,IF(AND($C72&lt;=Wirtschaftlichkeit!$M$8,$C72&gt;=Wirtschaftlichkeit!$M$8*Eingabemaske!$B$18),$C72,"0"))</f>
        <v>8.8678799999999995</v>
      </c>
      <c r="BP72" s="222">
        <v>4891</v>
      </c>
      <c r="BQ72" s="224">
        <f t="shared" si="83"/>
        <v>323.67761999999999</v>
      </c>
      <c r="BR72" s="222">
        <v>4891</v>
      </c>
      <c r="BS72" s="226">
        <f t="shared" si="84"/>
        <v>8.8678799999999995</v>
      </c>
      <c r="BT72" s="312">
        <v>4891</v>
      </c>
      <c r="BU72" s="286">
        <f>BO72*Wirtschaftlichkeit!$M$5/Wirtschaftlichkeit!$M$7</f>
        <v>3.6625752626569583</v>
      </c>
      <c r="BV72" s="284">
        <f t="shared" si="85"/>
        <v>133.68399708697899</v>
      </c>
      <c r="BX72" s="222">
        <v>4891</v>
      </c>
      <c r="BY72" s="225" t="str">
        <f>IF($C72&gt;=Wirtschaftlichkeit!$N$8,Wirtschaftlichkeit!$N$8,IF(AND($C72&lt;=Wirtschaftlichkeit!$N$8,$C72&gt;=Wirtschaftlichkeit!$N$8*Eingabemaske!$B$18),$C72,"0"))</f>
        <v>0</v>
      </c>
      <c r="BZ72" s="222">
        <v>4891</v>
      </c>
      <c r="CA72" s="224">
        <f t="shared" si="86"/>
        <v>0</v>
      </c>
      <c r="CB72" s="222">
        <v>4891</v>
      </c>
      <c r="CC72" s="226" t="str">
        <f t="shared" si="87"/>
        <v xml:space="preserve"> </v>
      </c>
      <c r="CD72" s="312">
        <v>4891</v>
      </c>
      <c r="CE72" s="286">
        <f>BY72*Wirtschaftlichkeit!$N$5/Wirtschaftlichkeit!$N$7</f>
        <v>0</v>
      </c>
      <c r="CF72" s="284">
        <f t="shared" si="88"/>
        <v>0</v>
      </c>
      <c r="CH72" s="222">
        <v>4891</v>
      </c>
      <c r="CI72" s="225" t="str">
        <f>IF($C72&gt;=Wirtschaftlichkeit!$O$8,Wirtschaftlichkeit!$O$8,IF(AND($C72&lt;=Wirtschaftlichkeit!$O$8,$C72&gt;=Wirtschaftlichkeit!$O$8*Eingabemaske!$B$18),$C72,"0"))</f>
        <v>0</v>
      </c>
      <c r="CJ72" s="222">
        <v>4891</v>
      </c>
      <c r="CK72" s="224">
        <f t="shared" si="89"/>
        <v>0</v>
      </c>
      <c r="CL72" s="222">
        <v>4891</v>
      </c>
      <c r="CM72" s="226" t="str">
        <f t="shared" si="90"/>
        <v xml:space="preserve"> </v>
      </c>
      <c r="CN72" s="312">
        <v>4891</v>
      </c>
      <c r="CO72" s="286">
        <f>CI72*Wirtschaftlichkeit!$O$5/Wirtschaftlichkeit!$O$7</f>
        <v>0</v>
      </c>
      <c r="CP72" s="284">
        <f t="shared" si="91"/>
        <v>0</v>
      </c>
      <c r="CR72" s="222">
        <v>4891</v>
      </c>
      <c r="CS72" s="225" t="str">
        <f>IF($C72&gt;=Wirtschaftlichkeit!$P$8,Wirtschaftlichkeit!$P$8,IF(AND($C72&lt;=Wirtschaftlichkeit!$P$8,$C72&gt;=Wirtschaftlichkeit!$P$8*Eingabemaske!$B$18),$C72,"0"))</f>
        <v>0</v>
      </c>
      <c r="CT72" s="222">
        <v>4891</v>
      </c>
      <c r="CU72" s="224">
        <f t="shared" si="92"/>
        <v>0</v>
      </c>
      <c r="CV72" s="222">
        <v>4891</v>
      </c>
      <c r="CW72" s="226" t="str">
        <f t="shared" si="93"/>
        <v xml:space="preserve"> </v>
      </c>
      <c r="CX72" s="312">
        <v>4891</v>
      </c>
      <c r="CY72" s="286">
        <f>CS72*Wirtschaftlichkeit!$P$5/Wirtschaftlichkeit!$P$7</f>
        <v>0</v>
      </c>
      <c r="CZ72" s="284">
        <f t="shared" si="94"/>
        <v>0</v>
      </c>
      <c r="DB72" s="222">
        <v>4891</v>
      </c>
      <c r="DC72" s="225" t="str">
        <f>IF($C72&gt;=Wirtschaftlichkeit!$Q$8,Wirtschaftlichkeit!$Q$8,IF(AND($C72&lt;=Wirtschaftlichkeit!$Q$8,$C72&gt;=Wirtschaftlichkeit!$Q$8*Eingabemaske!$B$18),$C72,"0"))</f>
        <v>0</v>
      </c>
      <c r="DD72" s="222">
        <v>4891</v>
      </c>
      <c r="DE72" s="224">
        <f t="shared" si="95"/>
        <v>0</v>
      </c>
      <c r="DF72" s="222">
        <v>4891</v>
      </c>
      <c r="DG72" s="226" t="str">
        <f t="shared" si="96"/>
        <v xml:space="preserve"> </v>
      </c>
      <c r="DH72" s="312">
        <v>4891</v>
      </c>
      <c r="DI72" s="286">
        <f>DC72*Wirtschaftlichkeit!$Q$5/Wirtschaftlichkeit!$Q$7</f>
        <v>0</v>
      </c>
      <c r="DJ72" s="284">
        <f t="shared" si="97"/>
        <v>0</v>
      </c>
      <c r="DL72" s="222">
        <v>4891</v>
      </c>
      <c r="DM72" s="225" t="str">
        <f>IF($C72&gt;=Wirtschaftlichkeit!$R$8,Wirtschaftlichkeit!$R$8,IF(AND($C72&lt;=Wirtschaftlichkeit!$R$8,$C72&gt;=Wirtschaftlichkeit!$R$8*Eingabemaske!$B$18),$C72,"0"))</f>
        <v>0</v>
      </c>
      <c r="DN72" s="222">
        <v>4891</v>
      </c>
      <c r="DO72" s="224">
        <f t="shared" si="98"/>
        <v>0</v>
      </c>
      <c r="DP72" s="222">
        <v>4891</v>
      </c>
      <c r="DQ72" s="226" t="str">
        <f t="shared" si="99"/>
        <v xml:space="preserve"> </v>
      </c>
      <c r="DR72" s="312">
        <v>4891</v>
      </c>
      <c r="DS72" s="286">
        <f>DM72*Wirtschaftlichkeit!$R$5/Wirtschaftlichkeit!$R$7</f>
        <v>0</v>
      </c>
      <c r="DT72" s="284">
        <f t="shared" si="100"/>
        <v>0</v>
      </c>
      <c r="DV72" s="222">
        <v>4891</v>
      </c>
      <c r="DW72" s="225" t="str">
        <f>IF($C72&gt;=Wirtschaftlichkeit!$S$8,Wirtschaftlichkeit!$S$8,IF(AND($C72&lt;=Wirtschaftlichkeit!$S$8,$C72&gt;=Wirtschaftlichkeit!$S$8*Eingabemaske!$B$18),$C72,"0"))</f>
        <v>0</v>
      </c>
      <c r="DX72" s="222">
        <v>4891</v>
      </c>
      <c r="DY72" s="224">
        <f t="shared" si="101"/>
        <v>0</v>
      </c>
      <c r="DZ72" s="222">
        <v>4891</v>
      </c>
      <c r="EA72" s="226" t="str">
        <f t="shared" si="102"/>
        <v xml:space="preserve"> </v>
      </c>
      <c r="EB72" s="312">
        <v>4891</v>
      </c>
      <c r="EC72" s="286">
        <f>DW72*Wirtschaftlichkeit!$S$5/Wirtschaftlichkeit!$S$7</f>
        <v>0</v>
      </c>
      <c r="ED72" s="284">
        <f t="shared" si="103"/>
        <v>0</v>
      </c>
      <c r="EF72" s="222">
        <v>4891</v>
      </c>
      <c r="EG72" s="225" t="str">
        <f>IF($C72&gt;=Wirtschaftlichkeit!$T$8,Wirtschaftlichkeit!$T$8,IF(AND($C72&lt;=Wirtschaftlichkeit!$T$8,$C72&gt;=Wirtschaftlichkeit!$T$8*Eingabemaske!$B$18),$C72,"0"))</f>
        <v>0</v>
      </c>
      <c r="EH72" s="222">
        <v>4891</v>
      </c>
      <c r="EI72" s="224">
        <f t="shared" si="104"/>
        <v>0</v>
      </c>
      <c r="EJ72" s="222">
        <v>4891</v>
      </c>
      <c r="EK72" s="226" t="str">
        <f t="shared" si="105"/>
        <v xml:space="preserve"> </v>
      </c>
      <c r="EL72" s="312">
        <v>4891</v>
      </c>
      <c r="EM72" s="286">
        <f>EG72*Wirtschaftlichkeit!$T$5/Wirtschaftlichkeit!$T$7</f>
        <v>0</v>
      </c>
      <c r="EN72" s="284">
        <f t="shared" si="106"/>
        <v>0</v>
      </c>
      <c r="EP72" s="222">
        <v>4891</v>
      </c>
      <c r="EQ72" s="225" t="str">
        <f>IF($C72&gt;=Wirtschaftlichkeit!$U$8,Wirtschaftlichkeit!$U$8,IF(AND($C72&lt;=Wirtschaftlichkeit!$U$8,$C72&gt;=Wirtschaftlichkeit!$U$8*Eingabemaske!$B$18),$C72,"0"))</f>
        <v>0</v>
      </c>
      <c r="ER72" s="222">
        <v>4891</v>
      </c>
      <c r="ES72" s="224">
        <f t="shared" si="107"/>
        <v>0</v>
      </c>
      <c r="ET72" s="222">
        <v>4891</v>
      </c>
      <c r="EU72" s="226" t="str">
        <f t="shared" si="108"/>
        <v xml:space="preserve"> </v>
      </c>
      <c r="EV72" s="312">
        <v>4891</v>
      </c>
      <c r="EW72" s="286">
        <f>EQ72*Wirtschaftlichkeit!$U$5/Wirtschaftlichkeit!$U$7</f>
        <v>0</v>
      </c>
      <c r="EX72" s="284">
        <f t="shared" si="109"/>
        <v>0</v>
      </c>
      <c r="EZ72" s="222">
        <v>4891</v>
      </c>
      <c r="FA72" s="225" t="str">
        <f>IF($C72&gt;=Wirtschaftlichkeit!$V$8,Wirtschaftlichkeit!$V$8,IF(AND($C72&lt;=Wirtschaftlichkeit!$V$8,$C72&gt;=Wirtschaftlichkeit!$V$8*Eingabemaske!$B$18),$C72,"0"))</f>
        <v>0</v>
      </c>
      <c r="FB72" s="222">
        <v>4891</v>
      </c>
      <c r="FC72" s="224">
        <f t="shared" si="110"/>
        <v>0</v>
      </c>
      <c r="FD72" s="222">
        <v>4891</v>
      </c>
      <c r="FE72" s="226" t="str">
        <f t="shared" si="111"/>
        <v xml:space="preserve"> </v>
      </c>
      <c r="FF72" s="312">
        <v>4891</v>
      </c>
      <c r="FG72" s="286">
        <f>FA72*Wirtschaftlichkeit!$V$5/Wirtschaftlichkeit!$V$7</f>
        <v>0</v>
      </c>
      <c r="FH72" s="284">
        <f t="shared" si="112"/>
        <v>0</v>
      </c>
      <c r="FJ72" s="222">
        <v>4891</v>
      </c>
      <c r="FK72" s="225" t="str">
        <f>IF($C72&gt;=Wirtschaftlichkeit!$W$8,Wirtschaftlichkeit!$W$8,IF(AND($C72&lt;=Wirtschaftlichkeit!$W$8,$C72&gt;=Wirtschaftlichkeit!$W$8*Eingabemaske!$B$18),$C72,"0"))</f>
        <v>0</v>
      </c>
      <c r="FL72" s="222">
        <v>4891</v>
      </c>
      <c r="FM72" s="224">
        <f t="shared" si="113"/>
        <v>0</v>
      </c>
      <c r="FN72" s="222">
        <v>4891</v>
      </c>
      <c r="FO72" s="226" t="str">
        <f t="shared" si="114"/>
        <v xml:space="preserve"> </v>
      </c>
      <c r="FP72" s="312">
        <v>4891</v>
      </c>
      <c r="FQ72" s="286">
        <f>FK72*Wirtschaftlichkeit!$W$5/Wirtschaftlichkeit!$W$7</f>
        <v>0</v>
      </c>
      <c r="FR72" s="284">
        <f t="shared" si="115"/>
        <v>0</v>
      </c>
      <c r="FT72" s="222">
        <v>4891</v>
      </c>
      <c r="FU72" s="225" t="str">
        <f>IF($C72&gt;=Wirtschaftlichkeit!$X$8,Wirtschaftlichkeit!$X$8,IF(AND($C72&lt;=Wirtschaftlichkeit!$X$8,$C72&gt;=Wirtschaftlichkeit!$X$8*Eingabemaske!$B$18),$C72,"0"))</f>
        <v>0</v>
      </c>
      <c r="FV72" s="222">
        <v>4891</v>
      </c>
      <c r="FW72" s="224">
        <f t="shared" si="116"/>
        <v>0</v>
      </c>
      <c r="FX72" s="222">
        <v>4891</v>
      </c>
      <c r="FY72" s="226" t="str">
        <f t="shared" si="117"/>
        <v xml:space="preserve"> </v>
      </c>
      <c r="FZ72" s="312">
        <v>4891</v>
      </c>
      <c r="GA72" s="286">
        <f>FU72*Wirtschaftlichkeit!$X$5/Wirtschaftlichkeit!$X$7</f>
        <v>0</v>
      </c>
      <c r="GB72" s="284">
        <f t="shared" si="118"/>
        <v>0</v>
      </c>
      <c r="GD72" s="222">
        <v>4891</v>
      </c>
      <c r="GE72" s="225" t="str">
        <f>IF($C72&gt;=Wirtschaftlichkeit!$Y$8,Wirtschaftlichkeit!$Y$8,IF(AND($C72&lt;=Wirtschaftlichkeit!$Y$8,$C72&gt;=Wirtschaftlichkeit!$Y$8*Eingabemaske!$B$18),$C72,"0"))</f>
        <v>0</v>
      </c>
      <c r="GF72" s="222">
        <v>4891</v>
      </c>
      <c r="GG72" s="224">
        <f t="shared" si="119"/>
        <v>0</v>
      </c>
      <c r="GH72" s="222">
        <v>4891</v>
      </c>
      <c r="GI72" s="226" t="str">
        <f t="shared" si="120"/>
        <v xml:space="preserve"> </v>
      </c>
      <c r="GJ72" s="312">
        <v>4891</v>
      </c>
      <c r="GK72" s="286">
        <f>GE72*Wirtschaftlichkeit!$Y$5/Wirtschaftlichkeit!$Y$7</f>
        <v>0</v>
      </c>
      <c r="GL72" s="284">
        <f t="shared" si="121"/>
        <v>0</v>
      </c>
      <c r="GN72" s="222">
        <v>4891</v>
      </c>
      <c r="GO72" s="225" t="str">
        <f>IF($C72&gt;=Wirtschaftlichkeit!$Z$8,Wirtschaftlichkeit!$Z$8,IF(AND($C72&lt;=Wirtschaftlichkeit!$Z$8,$C72&gt;=Wirtschaftlichkeit!$Z$8*Eingabemaske!$B$18),$C72,"0"))</f>
        <v>0</v>
      </c>
      <c r="GP72" s="222">
        <v>4891</v>
      </c>
      <c r="GQ72" s="224">
        <f t="shared" si="122"/>
        <v>0</v>
      </c>
      <c r="GR72" s="222">
        <v>4891</v>
      </c>
      <c r="GS72" s="226" t="str">
        <f t="shared" si="123"/>
        <v xml:space="preserve"> </v>
      </c>
      <c r="GT72" s="312">
        <v>4891</v>
      </c>
      <c r="GU72" s="286">
        <f>GO72*Wirtschaftlichkeit!$Z$5/Wirtschaftlichkeit!$Z$7</f>
        <v>0</v>
      </c>
      <c r="GV72" s="284">
        <f t="shared" si="124"/>
        <v>0</v>
      </c>
      <c r="GW72" s="266"/>
      <c r="GX72" s="258">
        <v>4891</v>
      </c>
      <c r="GY72" s="270" t="str">
        <f>IF(Berechnung_Diagramme!$C$28=Berechnungen_Lastgang!$F$2,Berechnungen_Lastgang!G72,IF(Berechnung_Diagramme!$C$28=Berechnungen_Lastgang!$P$2,Berechnungen_Lastgang!Q72,IF(Berechnung_Diagramme!$C$28=Berechnungen_Lastgang!$Z$2,Berechnungen_Lastgang!AA72,IF(Berechnung_Diagramme!$C$28=Berechnungen_Lastgang!$AJ$2,Berechnungen_Lastgang!AK72,IF(Berechnung_Diagramme!$C$28=Berechnungen_Lastgang!$AT$2,Berechnungen_Lastgang!AU72,IF(Berechnung_Diagramme!$C$28=Berechnungen_Lastgang!$BD$2,Berechnungen_Lastgang!BE72,IF(Berechnung_Diagramme!$C$28=Berechnungen_Lastgang!$BN$2,Berechnungen_Lastgang!BO72,IF(Berechnung_Diagramme!$C$28=Berechnungen_Lastgang!$BX$2,Berechnungen_Lastgang!BY72,IF(Berechnung_Diagramme!$C$28=Berechnungen_Lastgang!$CH$2,Berechnungen_Lastgang!CI72,IF(Berechnung_Diagramme!$C$28=Berechnungen_Lastgang!$CR$2,Berechnungen_Lastgang!CS72,IF(Berechnung_Diagramme!$C$28=Berechnungen_Lastgang!$DB$2,Berechnungen_Lastgang!DC72,IF(Berechnung_Diagramme!$C$28=Berechnungen_Lastgang!$DL$2,Berechnungen_Lastgang!DM72,IF(Berechnung_Diagramme!$C$28=Berechnungen_Lastgang!$DV$2,Berechnungen_Lastgang!DW72,IF(Berechnung_Diagramme!$C$28=Berechnungen_Lastgang!$EF$2,Berechnungen_Lastgang!EG72,IF(Berechnung_Diagramme!$C$28=Berechnungen_Lastgang!$EP$2,Berechnungen_Lastgang!EQ72,IF(Berechnung_Diagramme!$C$28=Berechnungen_Lastgang!$EZ$2,Berechnungen_Lastgang!FA72,IF(Berechnung_Diagramme!$C$28=Berechnungen_Lastgang!$FJ$2,Berechnungen_Lastgang!FK72,IF(Berechnung_Diagramme!$C$28=Berechnungen_Lastgang!$FT$2,Berechnungen_Lastgang!FU72,IF(Berechnung_Diagramme!$C$28=Berechnungen_Lastgang!$GD$2,Berechnungen_Lastgang!GE72,IF(Berechnung_Diagramme!$C$28=Berechnungen_Lastgang!$GN$2,Berechnungen_Lastgang!GO72,""))))))))))))))))))))</f>
        <v>0</v>
      </c>
    </row>
    <row r="73" spans="2:207" x14ac:dyDescent="0.25">
      <c r="B73" s="64">
        <v>4964</v>
      </c>
      <c r="C73" s="67">
        <f>C72+((C75-C72)/(B75-B72))*(B73-B72)</f>
        <v>8.4580199999999994</v>
      </c>
      <c r="D73" s="66">
        <f t="shared" si="64"/>
        <v>602.47557000000006</v>
      </c>
      <c r="F73" s="64">
        <v>4964</v>
      </c>
      <c r="G73" s="225">
        <f>IF($C73&gt;=Wirtschaftlichkeit!$G$8,Wirtschaftlichkeit!$G$8,IF(AND($C73&lt;=Wirtschaftlichkeit!$G$8,$C73&gt;=Wirtschaftlichkeit!$G$8*Eingabemaske!$B$18),$C73,"0"))</f>
        <v>2.8333333333333335</v>
      </c>
      <c r="H73" s="64">
        <v>4964</v>
      </c>
      <c r="I73" s="66">
        <f t="shared" si="65"/>
        <v>206.83333333333334</v>
      </c>
      <c r="J73" s="64">
        <v>4964</v>
      </c>
      <c r="K73" s="71">
        <f t="shared" si="66"/>
        <v>2.8333333333333335</v>
      </c>
      <c r="L73" s="312">
        <v>4964</v>
      </c>
      <c r="M73" s="286">
        <f>G73*Wirtschaftlichkeit!$G$5/Wirtschaftlichkeit!$G$7</f>
        <v>1</v>
      </c>
      <c r="N73" s="284">
        <f t="shared" si="67"/>
        <v>73</v>
      </c>
      <c r="P73" s="222">
        <v>4964</v>
      </c>
      <c r="Q73" s="225">
        <f>IF($C73&gt;=Wirtschaftlichkeit!$H$8,Wirtschaftlichkeit!$H$8,IF(AND($C73&lt;=Wirtschaftlichkeit!$H$8,$C73&gt;=Wirtschaftlichkeit!$H$8*Eingabemaske!$B$18),$C73,"0"))</f>
        <v>5.5876288659793811</v>
      </c>
      <c r="R73" s="222">
        <v>4964</v>
      </c>
      <c r="S73" s="224">
        <f t="shared" si="68"/>
        <v>407.89690721649481</v>
      </c>
      <c r="T73" s="222">
        <v>4964</v>
      </c>
      <c r="U73" s="226">
        <f t="shared" si="69"/>
        <v>5.5876288659793811</v>
      </c>
      <c r="V73" s="312">
        <v>4964</v>
      </c>
      <c r="W73" s="286">
        <f>Q73*Wirtschaftlichkeit!$H$5/Wirtschaftlichkeit!$H$7</f>
        <v>2</v>
      </c>
      <c r="X73" s="284">
        <f t="shared" si="70"/>
        <v>146</v>
      </c>
      <c r="Z73" s="222">
        <v>4964</v>
      </c>
      <c r="AA73" s="225">
        <f>IF($C73&gt;=Wirtschaftlichkeit!$I$8,Wirtschaftlichkeit!$I$8,IF(AND($C73&lt;=Wirtschaftlichkeit!$I$8,$C73&gt;=Wirtschaftlichkeit!$I$8*Eingabemaske!$B$18),$C73,"0"))</f>
        <v>8.2471643149712612</v>
      </c>
      <c r="AB73" s="222">
        <v>4964</v>
      </c>
      <c r="AC73" s="224">
        <f t="shared" si="71"/>
        <v>594.77933749645103</v>
      </c>
      <c r="AD73" s="222">
        <v>4964</v>
      </c>
      <c r="AE73" s="226">
        <f t="shared" si="72"/>
        <v>8.2471643149712612</v>
      </c>
      <c r="AF73" s="312">
        <v>4964</v>
      </c>
      <c r="AG73" s="286">
        <f>AA73*Wirtschaftlichkeit!$I$5/Wirtschaftlichkeit!$I$7</f>
        <v>3.0000000000000004</v>
      </c>
      <c r="AH73" s="284">
        <f t="shared" si="73"/>
        <v>216.35776181277296</v>
      </c>
      <c r="AJ73" s="222">
        <v>4964</v>
      </c>
      <c r="AK73" s="225">
        <f>IF($C73&gt;=Wirtschaftlichkeit!$J$8,Wirtschaftlichkeit!$J$8,IF(AND($C73&lt;=Wirtschaftlichkeit!$J$8,$C73&gt;=Wirtschaftlichkeit!$J$8*Eingabemaske!$B$18),$C73,"0"))</f>
        <v>8.4580199999999994</v>
      </c>
      <c r="AL73" s="222">
        <v>4964</v>
      </c>
      <c r="AM73" s="224">
        <f t="shared" si="74"/>
        <v>602.47557000000006</v>
      </c>
      <c r="AN73" s="222">
        <v>4964</v>
      </c>
      <c r="AO73" s="226">
        <f t="shared" si="75"/>
        <v>8.4580199999999994</v>
      </c>
      <c r="AP73" s="312">
        <v>4964</v>
      </c>
      <c r="AQ73" s="286">
        <f>AK73*Wirtschaftlichkeit!$J$5/Wirtschaftlichkeit!$J$7</f>
        <v>3.2106499114890532</v>
      </c>
      <c r="AR73" s="284">
        <f t="shared" si="76"/>
        <v>228.69869490670592</v>
      </c>
      <c r="AT73" s="222">
        <v>4964</v>
      </c>
      <c r="AU73" s="225">
        <f>IF($C73&gt;=Wirtschaftlichkeit!$K$8,Wirtschaftlichkeit!$K$8,IF(AND($C73&lt;=Wirtschaftlichkeit!$K$8,$C73&gt;=Wirtschaftlichkeit!$K$8*Eingabemaske!$B$18),$C73,"0"))</f>
        <v>8.4580199999999994</v>
      </c>
      <c r="AV73" s="222">
        <v>4964</v>
      </c>
      <c r="AW73" s="224">
        <f t="shared" si="77"/>
        <v>602.47557000000006</v>
      </c>
      <c r="AX73" s="222">
        <v>4964</v>
      </c>
      <c r="AY73" s="226">
        <f t="shared" si="78"/>
        <v>8.4580199999999994</v>
      </c>
      <c r="AZ73" s="312">
        <v>4964</v>
      </c>
      <c r="BA73" s="286">
        <f>AU73*Wirtschaftlichkeit!$K$5/Wirtschaftlichkeit!$K$7</f>
        <v>3.3197028371654138</v>
      </c>
      <c r="BB73" s="284">
        <f t="shared" si="79"/>
        <v>236.46667412134872</v>
      </c>
      <c r="BD73" s="222">
        <v>4964</v>
      </c>
      <c r="BE73" s="225">
        <f>IF($C73&gt;=Wirtschaftlichkeit!$L$8,Wirtschaftlichkeit!$L$8,IF(AND($C73&lt;=Wirtschaftlichkeit!$L$8,$C73&gt;=Wirtschaftlichkeit!$L$8*Eingabemaske!$B$18),$C73,"0"))</f>
        <v>8.4580199999999994</v>
      </c>
      <c r="BF73" s="222">
        <v>4964</v>
      </c>
      <c r="BG73" s="224">
        <f t="shared" si="80"/>
        <v>602.47557000000006</v>
      </c>
      <c r="BH73" s="222">
        <v>4964</v>
      </c>
      <c r="BI73" s="226">
        <f t="shared" si="81"/>
        <v>8.4580199999999994</v>
      </c>
      <c r="BJ73" s="312">
        <v>4964</v>
      </c>
      <c r="BK73" s="286">
        <f>BE73*Wirtschaftlichkeit!$L$5/Wirtschaftlichkeit!$L$7</f>
        <v>3.4123515508682813</v>
      </c>
      <c r="BL73" s="284">
        <f t="shared" si="82"/>
        <v>243.06616036019679</v>
      </c>
      <c r="BN73" s="222">
        <v>4964</v>
      </c>
      <c r="BO73" s="225" t="str">
        <f>IF($C73&gt;=Wirtschaftlichkeit!$M$8,Wirtschaftlichkeit!$M$8,IF(AND($C73&lt;=Wirtschaftlichkeit!$M$8,$C73&gt;=Wirtschaftlichkeit!$M$8*Eingabemaske!$B$18),$C73,"0"))</f>
        <v>0</v>
      </c>
      <c r="BP73" s="222">
        <v>4964</v>
      </c>
      <c r="BQ73" s="224">
        <f t="shared" si="83"/>
        <v>0</v>
      </c>
      <c r="BR73" s="222">
        <v>4964</v>
      </c>
      <c r="BS73" s="226" t="str">
        <f t="shared" si="84"/>
        <v xml:space="preserve"> </v>
      </c>
      <c r="BT73" s="312">
        <v>4964</v>
      </c>
      <c r="BU73" s="286">
        <f>BO73*Wirtschaftlichkeit!$M$5/Wirtschaftlichkeit!$M$7</f>
        <v>0</v>
      </c>
      <c r="BV73" s="284">
        <f t="shared" si="85"/>
        <v>0</v>
      </c>
      <c r="BX73" s="222">
        <v>4964</v>
      </c>
      <c r="BY73" s="225" t="str">
        <f>IF($C73&gt;=Wirtschaftlichkeit!$N$8,Wirtschaftlichkeit!$N$8,IF(AND($C73&lt;=Wirtschaftlichkeit!$N$8,$C73&gt;=Wirtschaftlichkeit!$N$8*Eingabemaske!$B$18),$C73,"0"))</f>
        <v>0</v>
      </c>
      <c r="BZ73" s="222">
        <v>4964</v>
      </c>
      <c r="CA73" s="224">
        <f t="shared" si="86"/>
        <v>0</v>
      </c>
      <c r="CB73" s="222">
        <v>4964</v>
      </c>
      <c r="CC73" s="226" t="str">
        <f t="shared" si="87"/>
        <v xml:space="preserve"> </v>
      </c>
      <c r="CD73" s="312">
        <v>4964</v>
      </c>
      <c r="CE73" s="286">
        <f>BY73*Wirtschaftlichkeit!$N$5/Wirtschaftlichkeit!$N$7</f>
        <v>0</v>
      </c>
      <c r="CF73" s="284">
        <f t="shared" si="88"/>
        <v>0</v>
      </c>
      <c r="CH73" s="222">
        <v>4964</v>
      </c>
      <c r="CI73" s="225" t="str">
        <f>IF($C73&gt;=Wirtschaftlichkeit!$O$8,Wirtschaftlichkeit!$O$8,IF(AND($C73&lt;=Wirtschaftlichkeit!$O$8,$C73&gt;=Wirtschaftlichkeit!$O$8*Eingabemaske!$B$18),$C73,"0"))</f>
        <v>0</v>
      </c>
      <c r="CJ73" s="222">
        <v>4964</v>
      </c>
      <c r="CK73" s="224">
        <f t="shared" si="89"/>
        <v>0</v>
      </c>
      <c r="CL73" s="222">
        <v>4964</v>
      </c>
      <c r="CM73" s="226" t="str">
        <f t="shared" si="90"/>
        <v xml:space="preserve"> </v>
      </c>
      <c r="CN73" s="312">
        <v>4964</v>
      </c>
      <c r="CO73" s="286">
        <f>CI73*Wirtschaftlichkeit!$O$5/Wirtschaftlichkeit!$O$7</f>
        <v>0</v>
      </c>
      <c r="CP73" s="284">
        <f t="shared" si="91"/>
        <v>0</v>
      </c>
      <c r="CR73" s="222">
        <v>4964</v>
      </c>
      <c r="CS73" s="225" t="str">
        <f>IF($C73&gt;=Wirtschaftlichkeit!$P$8,Wirtschaftlichkeit!$P$8,IF(AND($C73&lt;=Wirtschaftlichkeit!$P$8,$C73&gt;=Wirtschaftlichkeit!$P$8*Eingabemaske!$B$18),$C73,"0"))</f>
        <v>0</v>
      </c>
      <c r="CT73" s="222">
        <v>4964</v>
      </c>
      <c r="CU73" s="224">
        <f t="shared" si="92"/>
        <v>0</v>
      </c>
      <c r="CV73" s="222">
        <v>4964</v>
      </c>
      <c r="CW73" s="226" t="str">
        <f t="shared" si="93"/>
        <v xml:space="preserve"> </v>
      </c>
      <c r="CX73" s="312">
        <v>4964</v>
      </c>
      <c r="CY73" s="286">
        <f>CS73*Wirtschaftlichkeit!$P$5/Wirtschaftlichkeit!$P$7</f>
        <v>0</v>
      </c>
      <c r="CZ73" s="284">
        <f t="shared" si="94"/>
        <v>0</v>
      </c>
      <c r="DB73" s="222">
        <v>4964</v>
      </c>
      <c r="DC73" s="225" t="str">
        <f>IF($C73&gt;=Wirtschaftlichkeit!$Q$8,Wirtschaftlichkeit!$Q$8,IF(AND($C73&lt;=Wirtschaftlichkeit!$Q$8,$C73&gt;=Wirtschaftlichkeit!$Q$8*Eingabemaske!$B$18),$C73,"0"))</f>
        <v>0</v>
      </c>
      <c r="DD73" s="222">
        <v>4964</v>
      </c>
      <c r="DE73" s="224">
        <f t="shared" si="95"/>
        <v>0</v>
      </c>
      <c r="DF73" s="222">
        <v>4964</v>
      </c>
      <c r="DG73" s="226" t="str">
        <f t="shared" si="96"/>
        <v xml:space="preserve"> </v>
      </c>
      <c r="DH73" s="312">
        <v>4964</v>
      </c>
      <c r="DI73" s="286">
        <f>DC73*Wirtschaftlichkeit!$Q$5/Wirtschaftlichkeit!$Q$7</f>
        <v>0</v>
      </c>
      <c r="DJ73" s="284">
        <f t="shared" si="97"/>
        <v>0</v>
      </c>
      <c r="DL73" s="222">
        <v>4964</v>
      </c>
      <c r="DM73" s="225" t="str">
        <f>IF($C73&gt;=Wirtschaftlichkeit!$R$8,Wirtschaftlichkeit!$R$8,IF(AND($C73&lt;=Wirtschaftlichkeit!$R$8,$C73&gt;=Wirtschaftlichkeit!$R$8*Eingabemaske!$B$18),$C73,"0"))</f>
        <v>0</v>
      </c>
      <c r="DN73" s="222">
        <v>4964</v>
      </c>
      <c r="DO73" s="224">
        <f t="shared" si="98"/>
        <v>0</v>
      </c>
      <c r="DP73" s="222">
        <v>4964</v>
      </c>
      <c r="DQ73" s="226" t="str">
        <f t="shared" si="99"/>
        <v xml:space="preserve"> </v>
      </c>
      <c r="DR73" s="312">
        <v>4964</v>
      </c>
      <c r="DS73" s="286">
        <f>DM73*Wirtschaftlichkeit!$R$5/Wirtschaftlichkeit!$R$7</f>
        <v>0</v>
      </c>
      <c r="DT73" s="284">
        <f t="shared" si="100"/>
        <v>0</v>
      </c>
      <c r="DV73" s="222">
        <v>4964</v>
      </c>
      <c r="DW73" s="225" t="str">
        <f>IF($C73&gt;=Wirtschaftlichkeit!$S$8,Wirtschaftlichkeit!$S$8,IF(AND($C73&lt;=Wirtschaftlichkeit!$S$8,$C73&gt;=Wirtschaftlichkeit!$S$8*Eingabemaske!$B$18),$C73,"0"))</f>
        <v>0</v>
      </c>
      <c r="DX73" s="222">
        <v>4964</v>
      </c>
      <c r="DY73" s="224">
        <f t="shared" si="101"/>
        <v>0</v>
      </c>
      <c r="DZ73" s="222">
        <v>4964</v>
      </c>
      <c r="EA73" s="226" t="str">
        <f t="shared" si="102"/>
        <v xml:space="preserve"> </v>
      </c>
      <c r="EB73" s="312">
        <v>4964</v>
      </c>
      <c r="EC73" s="286">
        <f>DW73*Wirtschaftlichkeit!$S$5/Wirtschaftlichkeit!$S$7</f>
        <v>0</v>
      </c>
      <c r="ED73" s="284">
        <f t="shared" si="103"/>
        <v>0</v>
      </c>
      <c r="EF73" s="222">
        <v>4964</v>
      </c>
      <c r="EG73" s="225" t="str">
        <f>IF($C73&gt;=Wirtschaftlichkeit!$T$8,Wirtschaftlichkeit!$T$8,IF(AND($C73&lt;=Wirtschaftlichkeit!$T$8,$C73&gt;=Wirtschaftlichkeit!$T$8*Eingabemaske!$B$18),$C73,"0"))</f>
        <v>0</v>
      </c>
      <c r="EH73" s="222">
        <v>4964</v>
      </c>
      <c r="EI73" s="224">
        <f t="shared" si="104"/>
        <v>0</v>
      </c>
      <c r="EJ73" s="222">
        <v>4964</v>
      </c>
      <c r="EK73" s="226" t="str">
        <f t="shared" si="105"/>
        <v xml:space="preserve"> </v>
      </c>
      <c r="EL73" s="312">
        <v>4964</v>
      </c>
      <c r="EM73" s="286">
        <f>EG73*Wirtschaftlichkeit!$T$5/Wirtschaftlichkeit!$T$7</f>
        <v>0</v>
      </c>
      <c r="EN73" s="284">
        <f t="shared" si="106"/>
        <v>0</v>
      </c>
      <c r="EP73" s="222">
        <v>4964</v>
      </c>
      <c r="EQ73" s="225" t="str">
        <f>IF($C73&gt;=Wirtschaftlichkeit!$U$8,Wirtschaftlichkeit!$U$8,IF(AND($C73&lt;=Wirtschaftlichkeit!$U$8,$C73&gt;=Wirtschaftlichkeit!$U$8*Eingabemaske!$B$18),$C73,"0"))</f>
        <v>0</v>
      </c>
      <c r="ER73" s="222">
        <v>4964</v>
      </c>
      <c r="ES73" s="224">
        <f t="shared" si="107"/>
        <v>0</v>
      </c>
      <c r="ET73" s="222">
        <v>4964</v>
      </c>
      <c r="EU73" s="226" t="str">
        <f t="shared" si="108"/>
        <v xml:space="preserve"> </v>
      </c>
      <c r="EV73" s="312">
        <v>4964</v>
      </c>
      <c r="EW73" s="286">
        <f>EQ73*Wirtschaftlichkeit!$U$5/Wirtschaftlichkeit!$U$7</f>
        <v>0</v>
      </c>
      <c r="EX73" s="284">
        <f t="shared" si="109"/>
        <v>0</v>
      </c>
      <c r="EZ73" s="222">
        <v>4964</v>
      </c>
      <c r="FA73" s="225" t="str">
        <f>IF($C73&gt;=Wirtschaftlichkeit!$V$8,Wirtschaftlichkeit!$V$8,IF(AND($C73&lt;=Wirtschaftlichkeit!$V$8,$C73&gt;=Wirtschaftlichkeit!$V$8*Eingabemaske!$B$18),$C73,"0"))</f>
        <v>0</v>
      </c>
      <c r="FB73" s="222">
        <v>4964</v>
      </c>
      <c r="FC73" s="224">
        <f t="shared" si="110"/>
        <v>0</v>
      </c>
      <c r="FD73" s="222">
        <v>4964</v>
      </c>
      <c r="FE73" s="226" t="str">
        <f t="shared" si="111"/>
        <v xml:space="preserve"> </v>
      </c>
      <c r="FF73" s="312">
        <v>4964</v>
      </c>
      <c r="FG73" s="286">
        <f>FA73*Wirtschaftlichkeit!$V$5/Wirtschaftlichkeit!$V$7</f>
        <v>0</v>
      </c>
      <c r="FH73" s="284">
        <f t="shared" si="112"/>
        <v>0</v>
      </c>
      <c r="FJ73" s="222">
        <v>4964</v>
      </c>
      <c r="FK73" s="225" t="str">
        <f>IF($C73&gt;=Wirtschaftlichkeit!$W$8,Wirtschaftlichkeit!$W$8,IF(AND($C73&lt;=Wirtschaftlichkeit!$W$8,$C73&gt;=Wirtschaftlichkeit!$W$8*Eingabemaske!$B$18),$C73,"0"))</f>
        <v>0</v>
      </c>
      <c r="FL73" s="222">
        <v>4964</v>
      </c>
      <c r="FM73" s="224">
        <f t="shared" si="113"/>
        <v>0</v>
      </c>
      <c r="FN73" s="222">
        <v>4964</v>
      </c>
      <c r="FO73" s="226" t="str">
        <f t="shared" si="114"/>
        <v xml:space="preserve"> </v>
      </c>
      <c r="FP73" s="312">
        <v>4964</v>
      </c>
      <c r="FQ73" s="286">
        <f>FK73*Wirtschaftlichkeit!$W$5/Wirtschaftlichkeit!$W$7</f>
        <v>0</v>
      </c>
      <c r="FR73" s="284">
        <f t="shared" si="115"/>
        <v>0</v>
      </c>
      <c r="FT73" s="222">
        <v>4964</v>
      </c>
      <c r="FU73" s="225" t="str">
        <f>IF($C73&gt;=Wirtschaftlichkeit!$X$8,Wirtschaftlichkeit!$X$8,IF(AND($C73&lt;=Wirtschaftlichkeit!$X$8,$C73&gt;=Wirtschaftlichkeit!$X$8*Eingabemaske!$B$18),$C73,"0"))</f>
        <v>0</v>
      </c>
      <c r="FV73" s="222">
        <v>4964</v>
      </c>
      <c r="FW73" s="224">
        <f t="shared" si="116"/>
        <v>0</v>
      </c>
      <c r="FX73" s="222">
        <v>4964</v>
      </c>
      <c r="FY73" s="226" t="str">
        <f t="shared" si="117"/>
        <v xml:space="preserve"> </v>
      </c>
      <c r="FZ73" s="312">
        <v>4964</v>
      </c>
      <c r="GA73" s="286">
        <f>FU73*Wirtschaftlichkeit!$X$5/Wirtschaftlichkeit!$X$7</f>
        <v>0</v>
      </c>
      <c r="GB73" s="284">
        <f t="shared" si="118"/>
        <v>0</v>
      </c>
      <c r="GD73" s="222">
        <v>4964</v>
      </c>
      <c r="GE73" s="225" t="str">
        <f>IF($C73&gt;=Wirtschaftlichkeit!$Y$8,Wirtschaftlichkeit!$Y$8,IF(AND($C73&lt;=Wirtschaftlichkeit!$Y$8,$C73&gt;=Wirtschaftlichkeit!$Y$8*Eingabemaske!$B$18),$C73,"0"))</f>
        <v>0</v>
      </c>
      <c r="GF73" s="222">
        <v>4964</v>
      </c>
      <c r="GG73" s="224">
        <f t="shared" si="119"/>
        <v>0</v>
      </c>
      <c r="GH73" s="222">
        <v>4964</v>
      </c>
      <c r="GI73" s="226" t="str">
        <f t="shared" si="120"/>
        <v xml:space="preserve"> </v>
      </c>
      <c r="GJ73" s="312">
        <v>4964</v>
      </c>
      <c r="GK73" s="286">
        <f>GE73*Wirtschaftlichkeit!$Y$5/Wirtschaftlichkeit!$Y$7</f>
        <v>0</v>
      </c>
      <c r="GL73" s="284">
        <f t="shared" si="121"/>
        <v>0</v>
      </c>
      <c r="GN73" s="222">
        <v>4964</v>
      </c>
      <c r="GO73" s="225" t="str">
        <f>IF($C73&gt;=Wirtschaftlichkeit!$Z$8,Wirtschaftlichkeit!$Z$8,IF(AND($C73&lt;=Wirtschaftlichkeit!$Z$8,$C73&gt;=Wirtschaftlichkeit!$Z$8*Eingabemaske!$B$18),$C73,"0"))</f>
        <v>0</v>
      </c>
      <c r="GP73" s="222">
        <v>4964</v>
      </c>
      <c r="GQ73" s="224">
        <f t="shared" si="122"/>
        <v>0</v>
      </c>
      <c r="GR73" s="222">
        <v>4964</v>
      </c>
      <c r="GS73" s="226" t="str">
        <f t="shared" si="123"/>
        <v xml:space="preserve"> </v>
      </c>
      <c r="GT73" s="312">
        <v>4964</v>
      </c>
      <c r="GU73" s="286">
        <f>GO73*Wirtschaftlichkeit!$Z$5/Wirtschaftlichkeit!$Z$7</f>
        <v>0</v>
      </c>
      <c r="GV73" s="284">
        <f t="shared" si="124"/>
        <v>0</v>
      </c>
      <c r="GW73" s="266"/>
      <c r="GX73" s="258">
        <v>4964</v>
      </c>
      <c r="GY73" s="270" t="str">
        <f>IF(Berechnung_Diagramme!$C$28=Berechnungen_Lastgang!$F$2,Berechnungen_Lastgang!G73,IF(Berechnung_Diagramme!$C$28=Berechnungen_Lastgang!$P$2,Berechnungen_Lastgang!Q73,IF(Berechnung_Diagramme!$C$28=Berechnungen_Lastgang!$Z$2,Berechnungen_Lastgang!AA73,IF(Berechnung_Diagramme!$C$28=Berechnungen_Lastgang!$AJ$2,Berechnungen_Lastgang!AK73,IF(Berechnung_Diagramme!$C$28=Berechnungen_Lastgang!$AT$2,Berechnungen_Lastgang!AU73,IF(Berechnung_Diagramme!$C$28=Berechnungen_Lastgang!$BD$2,Berechnungen_Lastgang!BE73,IF(Berechnung_Diagramme!$C$28=Berechnungen_Lastgang!$BN$2,Berechnungen_Lastgang!BO73,IF(Berechnung_Diagramme!$C$28=Berechnungen_Lastgang!$BX$2,Berechnungen_Lastgang!BY73,IF(Berechnung_Diagramme!$C$28=Berechnungen_Lastgang!$CH$2,Berechnungen_Lastgang!CI73,IF(Berechnung_Diagramme!$C$28=Berechnungen_Lastgang!$CR$2,Berechnungen_Lastgang!CS73,IF(Berechnung_Diagramme!$C$28=Berechnungen_Lastgang!$DB$2,Berechnungen_Lastgang!DC73,IF(Berechnung_Diagramme!$C$28=Berechnungen_Lastgang!$DL$2,Berechnungen_Lastgang!DM73,IF(Berechnung_Diagramme!$C$28=Berechnungen_Lastgang!$DV$2,Berechnungen_Lastgang!DW73,IF(Berechnung_Diagramme!$C$28=Berechnungen_Lastgang!$EF$2,Berechnungen_Lastgang!EG73,IF(Berechnung_Diagramme!$C$28=Berechnungen_Lastgang!$EP$2,Berechnungen_Lastgang!EQ73,IF(Berechnung_Diagramme!$C$28=Berechnungen_Lastgang!$EZ$2,Berechnungen_Lastgang!FA73,IF(Berechnung_Diagramme!$C$28=Berechnungen_Lastgang!$FJ$2,Berechnungen_Lastgang!FK73,IF(Berechnung_Diagramme!$C$28=Berechnungen_Lastgang!$FT$2,Berechnungen_Lastgang!FU73,IF(Berechnung_Diagramme!$C$28=Berechnungen_Lastgang!$GD$2,Berechnungen_Lastgang!GE73,IF(Berechnung_Diagramme!$C$28=Berechnungen_Lastgang!$GN$2,Berechnungen_Lastgang!GO73,""))))))))))))))))))))</f>
        <v>0</v>
      </c>
    </row>
    <row r="74" spans="2:207" x14ac:dyDescent="0.25">
      <c r="B74" s="64">
        <v>5037</v>
      </c>
      <c r="C74" s="67">
        <f>C73+((C75-C73)/(B75-B73))*(B74-B73)</f>
        <v>8.0481599999999993</v>
      </c>
      <c r="D74" s="66">
        <f t="shared" si="64"/>
        <v>572.55579</v>
      </c>
      <c r="F74" s="64">
        <v>5037</v>
      </c>
      <c r="G74" s="225">
        <f>IF($C74&gt;=Wirtschaftlichkeit!$G$8,Wirtschaftlichkeit!$G$8,IF(AND($C74&lt;=Wirtschaftlichkeit!$G$8,$C74&gt;=Wirtschaftlichkeit!$G$8*Eingabemaske!$B$18),$C74,"0"))</f>
        <v>2.8333333333333335</v>
      </c>
      <c r="H74" s="64">
        <v>5037</v>
      </c>
      <c r="I74" s="66">
        <f t="shared" si="65"/>
        <v>206.83333333333334</v>
      </c>
      <c r="J74" s="64">
        <v>5037</v>
      </c>
      <c r="K74" s="71">
        <f t="shared" si="66"/>
        <v>2.8333333333333335</v>
      </c>
      <c r="L74" s="312">
        <v>5037</v>
      </c>
      <c r="M74" s="286">
        <f>G74*Wirtschaftlichkeit!$G$5/Wirtschaftlichkeit!$G$7</f>
        <v>1</v>
      </c>
      <c r="N74" s="284">
        <f t="shared" si="67"/>
        <v>73</v>
      </c>
      <c r="P74" s="222">
        <v>5037</v>
      </c>
      <c r="Q74" s="225">
        <f>IF($C74&gt;=Wirtschaftlichkeit!$H$8,Wirtschaftlichkeit!$H$8,IF(AND($C74&lt;=Wirtschaftlichkeit!$H$8,$C74&gt;=Wirtschaftlichkeit!$H$8*Eingabemaske!$B$18),$C74,"0"))</f>
        <v>5.5876288659793811</v>
      </c>
      <c r="R74" s="222">
        <v>5037</v>
      </c>
      <c r="S74" s="224">
        <f t="shared" si="68"/>
        <v>407.89690721649481</v>
      </c>
      <c r="T74" s="222">
        <v>5037</v>
      </c>
      <c r="U74" s="226">
        <f t="shared" si="69"/>
        <v>5.5876288659793811</v>
      </c>
      <c r="V74" s="312">
        <v>5037</v>
      </c>
      <c r="W74" s="286">
        <f>Q74*Wirtschaftlichkeit!$H$5/Wirtschaftlichkeit!$H$7</f>
        <v>2</v>
      </c>
      <c r="X74" s="284">
        <f t="shared" si="70"/>
        <v>146</v>
      </c>
      <c r="Z74" s="222">
        <v>5037</v>
      </c>
      <c r="AA74" s="225">
        <f>IF($C74&gt;=Wirtschaftlichkeit!$I$8,Wirtschaftlichkeit!$I$8,IF(AND($C74&lt;=Wirtschaftlichkeit!$I$8,$C74&gt;=Wirtschaftlichkeit!$I$8*Eingabemaske!$B$18),$C74,"0"))</f>
        <v>8.0481599999999993</v>
      </c>
      <c r="AB74" s="222">
        <v>5037</v>
      </c>
      <c r="AC74" s="224">
        <f t="shared" si="71"/>
        <v>572.55579</v>
      </c>
      <c r="AD74" s="222">
        <v>5037</v>
      </c>
      <c r="AE74" s="226">
        <f t="shared" si="72"/>
        <v>8.0481599999999993</v>
      </c>
      <c r="AF74" s="312">
        <v>5037</v>
      </c>
      <c r="AG74" s="286">
        <f>AA74*Wirtschaftlichkeit!$I$5/Wirtschaftlichkeit!$I$7</f>
        <v>2.9276099126787112</v>
      </c>
      <c r="AH74" s="284">
        <f t="shared" si="73"/>
        <v>208.27369316285839</v>
      </c>
      <c r="AJ74" s="222">
        <v>5037</v>
      </c>
      <c r="AK74" s="225">
        <f>IF($C74&gt;=Wirtschaftlichkeit!$J$8,Wirtschaftlichkeit!$J$8,IF(AND($C74&lt;=Wirtschaftlichkeit!$J$8,$C74&gt;=Wirtschaftlichkeit!$J$8*Eingabemaske!$B$18),$C74,"0"))</f>
        <v>8.0481599999999993</v>
      </c>
      <c r="AL74" s="222">
        <v>5037</v>
      </c>
      <c r="AM74" s="224">
        <f t="shared" si="74"/>
        <v>572.55579</v>
      </c>
      <c r="AN74" s="222">
        <v>5037</v>
      </c>
      <c r="AO74" s="226">
        <f t="shared" si="75"/>
        <v>8.0481599999999993</v>
      </c>
      <c r="AP74" s="312">
        <v>5037</v>
      </c>
      <c r="AQ74" s="286">
        <f>AK74*Wirtschaftlichkeit!$J$5/Wirtschaftlichkeit!$J$7</f>
        <v>3.0550677571878215</v>
      </c>
      <c r="AR74" s="284">
        <f t="shared" si="76"/>
        <v>217.34119764271603</v>
      </c>
      <c r="AT74" s="222">
        <v>5037</v>
      </c>
      <c r="AU74" s="225">
        <f>IF($C74&gt;=Wirtschaftlichkeit!$K$8,Wirtschaftlichkeit!$K$8,IF(AND($C74&lt;=Wirtschaftlichkeit!$K$8,$C74&gt;=Wirtschaftlichkeit!$K$8*Eingabemaske!$B$18),$C74,"0"))</f>
        <v>8.0481599999999993</v>
      </c>
      <c r="AV74" s="222">
        <v>5037</v>
      </c>
      <c r="AW74" s="224">
        <f t="shared" si="77"/>
        <v>572.55579</v>
      </c>
      <c r="AX74" s="222">
        <v>5037</v>
      </c>
      <c r="AY74" s="226">
        <f t="shared" si="78"/>
        <v>8.0481599999999993</v>
      </c>
      <c r="AZ74" s="312">
        <v>5037</v>
      </c>
      <c r="BA74" s="286">
        <f>AU74*Wirtschaftlichkeit!$K$5/Wirtschaftlichkeit!$K$7</f>
        <v>3.1588361798578388</v>
      </c>
      <c r="BB74" s="284">
        <f t="shared" si="79"/>
        <v>224.72340813789572</v>
      </c>
      <c r="BD74" s="222">
        <v>5037</v>
      </c>
      <c r="BE74" s="225">
        <f>IF($C74&gt;=Wirtschaftlichkeit!$L$8,Wirtschaftlichkeit!$L$8,IF(AND($C74&lt;=Wirtschaftlichkeit!$L$8,$C74&gt;=Wirtschaftlichkeit!$L$8*Eingabemaske!$B$18),$C74,"0"))</f>
        <v>8.0481599999999993</v>
      </c>
      <c r="BF74" s="222">
        <v>5037</v>
      </c>
      <c r="BG74" s="224">
        <f t="shared" si="80"/>
        <v>572.55579</v>
      </c>
      <c r="BH74" s="222">
        <v>5037</v>
      </c>
      <c r="BI74" s="226">
        <f t="shared" si="81"/>
        <v>8.0481599999999993</v>
      </c>
      <c r="BJ74" s="312">
        <v>5037</v>
      </c>
      <c r="BK74" s="286">
        <f>BE74*Wirtschaftlichkeit!$L$5/Wirtschaftlichkeit!$L$7</f>
        <v>3.2469953083151921</v>
      </c>
      <c r="BL74" s="284">
        <f t="shared" si="82"/>
        <v>230.99515465382132</v>
      </c>
      <c r="BN74" s="222">
        <v>5037</v>
      </c>
      <c r="BO74" s="225" t="str">
        <f>IF($C74&gt;=Wirtschaftlichkeit!$M$8,Wirtschaftlichkeit!$M$8,IF(AND($C74&lt;=Wirtschaftlichkeit!$M$8,$C74&gt;=Wirtschaftlichkeit!$M$8*Eingabemaske!$B$18),$C74,"0"))</f>
        <v>0</v>
      </c>
      <c r="BP74" s="222">
        <v>5037</v>
      </c>
      <c r="BQ74" s="224">
        <f t="shared" si="83"/>
        <v>0</v>
      </c>
      <c r="BR74" s="222">
        <v>5037</v>
      </c>
      <c r="BS74" s="226" t="str">
        <f t="shared" si="84"/>
        <v xml:space="preserve"> </v>
      </c>
      <c r="BT74" s="312">
        <v>5037</v>
      </c>
      <c r="BU74" s="286">
        <f>BO74*Wirtschaftlichkeit!$M$5/Wirtschaftlichkeit!$M$7</f>
        <v>0</v>
      </c>
      <c r="BV74" s="284">
        <f t="shared" si="85"/>
        <v>0</v>
      </c>
      <c r="BX74" s="222">
        <v>5037</v>
      </c>
      <c r="BY74" s="225" t="str">
        <f>IF($C74&gt;=Wirtschaftlichkeit!$N$8,Wirtschaftlichkeit!$N$8,IF(AND($C74&lt;=Wirtschaftlichkeit!$N$8,$C74&gt;=Wirtschaftlichkeit!$N$8*Eingabemaske!$B$18),$C74,"0"))</f>
        <v>0</v>
      </c>
      <c r="BZ74" s="222">
        <v>5037</v>
      </c>
      <c r="CA74" s="224">
        <f t="shared" si="86"/>
        <v>0</v>
      </c>
      <c r="CB74" s="222">
        <v>5037</v>
      </c>
      <c r="CC74" s="226" t="str">
        <f t="shared" si="87"/>
        <v xml:space="preserve"> </v>
      </c>
      <c r="CD74" s="312">
        <v>5037</v>
      </c>
      <c r="CE74" s="286">
        <f>BY74*Wirtschaftlichkeit!$N$5/Wirtschaftlichkeit!$N$7</f>
        <v>0</v>
      </c>
      <c r="CF74" s="284">
        <f t="shared" si="88"/>
        <v>0</v>
      </c>
      <c r="CH74" s="222">
        <v>5037</v>
      </c>
      <c r="CI74" s="225" t="str">
        <f>IF($C74&gt;=Wirtschaftlichkeit!$O$8,Wirtschaftlichkeit!$O$8,IF(AND($C74&lt;=Wirtschaftlichkeit!$O$8,$C74&gt;=Wirtschaftlichkeit!$O$8*Eingabemaske!$B$18),$C74,"0"))</f>
        <v>0</v>
      </c>
      <c r="CJ74" s="222">
        <v>5037</v>
      </c>
      <c r="CK74" s="224">
        <f t="shared" si="89"/>
        <v>0</v>
      </c>
      <c r="CL74" s="222">
        <v>5037</v>
      </c>
      <c r="CM74" s="226" t="str">
        <f t="shared" si="90"/>
        <v xml:space="preserve"> </v>
      </c>
      <c r="CN74" s="312">
        <v>5037</v>
      </c>
      <c r="CO74" s="286">
        <f>CI74*Wirtschaftlichkeit!$O$5/Wirtschaftlichkeit!$O$7</f>
        <v>0</v>
      </c>
      <c r="CP74" s="284">
        <f t="shared" si="91"/>
        <v>0</v>
      </c>
      <c r="CR74" s="222">
        <v>5037</v>
      </c>
      <c r="CS74" s="225" t="str">
        <f>IF($C74&gt;=Wirtschaftlichkeit!$P$8,Wirtschaftlichkeit!$P$8,IF(AND($C74&lt;=Wirtschaftlichkeit!$P$8,$C74&gt;=Wirtschaftlichkeit!$P$8*Eingabemaske!$B$18),$C74,"0"))</f>
        <v>0</v>
      </c>
      <c r="CT74" s="222">
        <v>5037</v>
      </c>
      <c r="CU74" s="224">
        <f t="shared" si="92"/>
        <v>0</v>
      </c>
      <c r="CV74" s="222">
        <v>5037</v>
      </c>
      <c r="CW74" s="226" t="str">
        <f t="shared" si="93"/>
        <v xml:space="preserve"> </v>
      </c>
      <c r="CX74" s="312">
        <v>5037</v>
      </c>
      <c r="CY74" s="286">
        <f>CS74*Wirtschaftlichkeit!$P$5/Wirtschaftlichkeit!$P$7</f>
        <v>0</v>
      </c>
      <c r="CZ74" s="284">
        <f t="shared" si="94"/>
        <v>0</v>
      </c>
      <c r="DB74" s="222">
        <v>5037</v>
      </c>
      <c r="DC74" s="225" t="str">
        <f>IF($C74&gt;=Wirtschaftlichkeit!$Q$8,Wirtschaftlichkeit!$Q$8,IF(AND($C74&lt;=Wirtschaftlichkeit!$Q$8,$C74&gt;=Wirtschaftlichkeit!$Q$8*Eingabemaske!$B$18),$C74,"0"))</f>
        <v>0</v>
      </c>
      <c r="DD74" s="222">
        <v>5037</v>
      </c>
      <c r="DE74" s="224">
        <f t="shared" si="95"/>
        <v>0</v>
      </c>
      <c r="DF74" s="222">
        <v>5037</v>
      </c>
      <c r="DG74" s="226" t="str">
        <f t="shared" si="96"/>
        <v xml:space="preserve"> </v>
      </c>
      <c r="DH74" s="312">
        <v>5037</v>
      </c>
      <c r="DI74" s="286">
        <f>DC74*Wirtschaftlichkeit!$Q$5/Wirtschaftlichkeit!$Q$7</f>
        <v>0</v>
      </c>
      <c r="DJ74" s="284">
        <f t="shared" si="97"/>
        <v>0</v>
      </c>
      <c r="DL74" s="222">
        <v>5037</v>
      </c>
      <c r="DM74" s="225" t="str">
        <f>IF($C74&gt;=Wirtschaftlichkeit!$R$8,Wirtschaftlichkeit!$R$8,IF(AND($C74&lt;=Wirtschaftlichkeit!$R$8,$C74&gt;=Wirtschaftlichkeit!$R$8*Eingabemaske!$B$18),$C74,"0"))</f>
        <v>0</v>
      </c>
      <c r="DN74" s="222">
        <v>5037</v>
      </c>
      <c r="DO74" s="224">
        <f t="shared" si="98"/>
        <v>0</v>
      </c>
      <c r="DP74" s="222">
        <v>5037</v>
      </c>
      <c r="DQ74" s="226" t="str">
        <f t="shared" si="99"/>
        <v xml:space="preserve"> </v>
      </c>
      <c r="DR74" s="312">
        <v>5037</v>
      </c>
      <c r="DS74" s="286">
        <f>DM74*Wirtschaftlichkeit!$R$5/Wirtschaftlichkeit!$R$7</f>
        <v>0</v>
      </c>
      <c r="DT74" s="284">
        <f t="shared" si="100"/>
        <v>0</v>
      </c>
      <c r="DV74" s="222">
        <v>5037</v>
      </c>
      <c r="DW74" s="225" t="str">
        <f>IF($C74&gt;=Wirtschaftlichkeit!$S$8,Wirtschaftlichkeit!$S$8,IF(AND($C74&lt;=Wirtschaftlichkeit!$S$8,$C74&gt;=Wirtschaftlichkeit!$S$8*Eingabemaske!$B$18),$C74,"0"))</f>
        <v>0</v>
      </c>
      <c r="DX74" s="222">
        <v>5037</v>
      </c>
      <c r="DY74" s="224">
        <f t="shared" si="101"/>
        <v>0</v>
      </c>
      <c r="DZ74" s="222">
        <v>5037</v>
      </c>
      <c r="EA74" s="226" t="str">
        <f t="shared" si="102"/>
        <v xml:space="preserve"> </v>
      </c>
      <c r="EB74" s="312">
        <v>5037</v>
      </c>
      <c r="EC74" s="286">
        <f>DW74*Wirtschaftlichkeit!$S$5/Wirtschaftlichkeit!$S$7</f>
        <v>0</v>
      </c>
      <c r="ED74" s="284">
        <f t="shared" si="103"/>
        <v>0</v>
      </c>
      <c r="EF74" s="222">
        <v>5037</v>
      </c>
      <c r="EG74" s="225" t="str">
        <f>IF($C74&gt;=Wirtschaftlichkeit!$T$8,Wirtschaftlichkeit!$T$8,IF(AND($C74&lt;=Wirtschaftlichkeit!$T$8,$C74&gt;=Wirtschaftlichkeit!$T$8*Eingabemaske!$B$18),$C74,"0"))</f>
        <v>0</v>
      </c>
      <c r="EH74" s="222">
        <v>5037</v>
      </c>
      <c r="EI74" s="224">
        <f t="shared" si="104"/>
        <v>0</v>
      </c>
      <c r="EJ74" s="222">
        <v>5037</v>
      </c>
      <c r="EK74" s="226" t="str">
        <f t="shared" si="105"/>
        <v xml:space="preserve"> </v>
      </c>
      <c r="EL74" s="312">
        <v>5037</v>
      </c>
      <c r="EM74" s="286">
        <f>EG74*Wirtschaftlichkeit!$T$5/Wirtschaftlichkeit!$T$7</f>
        <v>0</v>
      </c>
      <c r="EN74" s="284">
        <f t="shared" si="106"/>
        <v>0</v>
      </c>
      <c r="EP74" s="222">
        <v>5037</v>
      </c>
      <c r="EQ74" s="225" t="str">
        <f>IF($C74&gt;=Wirtschaftlichkeit!$U$8,Wirtschaftlichkeit!$U$8,IF(AND($C74&lt;=Wirtschaftlichkeit!$U$8,$C74&gt;=Wirtschaftlichkeit!$U$8*Eingabemaske!$B$18),$C74,"0"))</f>
        <v>0</v>
      </c>
      <c r="ER74" s="222">
        <v>5037</v>
      </c>
      <c r="ES74" s="224">
        <f t="shared" si="107"/>
        <v>0</v>
      </c>
      <c r="ET74" s="222">
        <v>5037</v>
      </c>
      <c r="EU74" s="226" t="str">
        <f t="shared" si="108"/>
        <v xml:space="preserve"> </v>
      </c>
      <c r="EV74" s="312">
        <v>5037</v>
      </c>
      <c r="EW74" s="286">
        <f>EQ74*Wirtschaftlichkeit!$U$5/Wirtschaftlichkeit!$U$7</f>
        <v>0</v>
      </c>
      <c r="EX74" s="284">
        <f t="shared" si="109"/>
        <v>0</v>
      </c>
      <c r="EZ74" s="222">
        <v>5037</v>
      </c>
      <c r="FA74" s="225" t="str">
        <f>IF($C74&gt;=Wirtschaftlichkeit!$V$8,Wirtschaftlichkeit!$V$8,IF(AND($C74&lt;=Wirtschaftlichkeit!$V$8,$C74&gt;=Wirtschaftlichkeit!$V$8*Eingabemaske!$B$18),$C74,"0"))</f>
        <v>0</v>
      </c>
      <c r="FB74" s="222">
        <v>5037</v>
      </c>
      <c r="FC74" s="224">
        <f t="shared" si="110"/>
        <v>0</v>
      </c>
      <c r="FD74" s="222">
        <v>5037</v>
      </c>
      <c r="FE74" s="226" t="str">
        <f t="shared" si="111"/>
        <v xml:space="preserve"> </v>
      </c>
      <c r="FF74" s="312">
        <v>5037</v>
      </c>
      <c r="FG74" s="286">
        <f>FA74*Wirtschaftlichkeit!$V$5/Wirtschaftlichkeit!$V$7</f>
        <v>0</v>
      </c>
      <c r="FH74" s="284">
        <f t="shared" si="112"/>
        <v>0</v>
      </c>
      <c r="FJ74" s="222">
        <v>5037</v>
      </c>
      <c r="FK74" s="225" t="str">
        <f>IF($C74&gt;=Wirtschaftlichkeit!$W$8,Wirtschaftlichkeit!$W$8,IF(AND($C74&lt;=Wirtschaftlichkeit!$W$8,$C74&gt;=Wirtschaftlichkeit!$W$8*Eingabemaske!$B$18),$C74,"0"))</f>
        <v>0</v>
      </c>
      <c r="FL74" s="222">
        <v>5037</v>
      </c>
      <c r="FM74" s="224">
        <f t="shared" si="113"/>
        <v>0</v>
      </c>
      <c r="FN74" s="222">
        <v>5037</v>
      </c>
      <c r="FO74" s="226" t="str">
        <f t="shared" si="114"/>
        <v xml:space="preserve"> </v>
      </c>
      <c r="FP74" s="312">
        <v>5037</v>
      </c>
      <c r="FQ74" s="286">
        <f>FK74*Wirtschaftlichkeit!$W$5/Wirtschaftlichkeit!$W$7</f>
        <v>0</v>
      </c>
      <c r="FR74" s="284">
        <f t="shared" si="115"/>
        <v>0</v>
      </c>
      <c r="FT74" s="222">
        <v>5037</v>
      </c>
      <c r="FU74" s="225" t="str">
        <f>IF($C74&gt;=Wirtschaftlichkeit!$X$8,Wirtschaftlichkeit!$X$8,IF(AND($C74&lt;=Wirtschaftlichkeit!$X$8,$C74&gt;=Wirtschaftlichkeit!$X$8*Eingabemaske!$B$18),$C74,"0"))</f>
        <v>0</v>
      </c>
      <c r="FV74" s="222">
        <v>5037</v>
      </c>
      <c r="FW74" s="224">
        <f t="shared" si="116"/>
        <v>0</v>
      </c>
      <c r="FX74" s="222">
        <v>5037</v>
      </c>
      <c r="FY74" s="226" t="str">
        <f t="shared" si="117"/>
        <v xml:space="preserve"> </v>
      </c>
      <c r="FZ74" s="312">
        <v>5037</v>
      </c>
      <c r="GA74" s="286">
        <f>FU74*Wirtschaftlichkeit!$X$5/Wirtschaftlichkeit!$X$7</f>
        <v>0</v>
      </c>
      <c r="GB74" s="284">
        <f t="shared" si="118"/>
        <v>0</v>
      </c>
      <c r="GD74" s="222">
        <v>5037</v>
      </c>
      <c r="GE74" s="225" t="str">
        <f>IF($C74&gt;=Wirtschaftlichkeit!$Y$8,Wirtschaftlichkeit!$Y$8,IF(AND($C74&lt;=Wirtschaftlichkeit!$Y$8,$C74&gt;=Wirtschaftlichkeit!$Y$8*Eingabemaske!$B$18),$C74,"0"))</f>
        <v>0</v>
      </c>
      <c r="GF74" s="222">
        <v>5037</v>
      </c>
      <c r="GG74" s="224">
        <f t="shared" si="119"/>
        <v>0</v>
      </c>
      <c r="GH74" s="222">
        <v>5037</v>
      </c>
      <c r="GI74" s="226" t="str">
        <f t="shared" si="120"/>
        <v xml:space="preserve"> </v>
      </c>
      <c r="GJ74" s="312">
        <v>5037</v>
      </c>
      <c r="GK74" s="286">
        <f>GE74*Wirtschaftlichkeit!$Y$5/Wirtschaftlichkeit!$Y$7</f>
        <v>0</v>
      </c>
      <c r="GL74" s="284">
        <f t="shared" si="121"/>
        <v>0</v>
      </c>
      <c r="GN74" s="222">
        <v>5037</v>
      </c>
      <c r="GO74" s="225" t="str">
        <f>IF($C74&gt;=Wirtschaftlichkeit!$Z$8,Wirtschaftlichkeit!$Z$8,IF(AND($C74&lt;=Wirtschaftlichkeit!$Z$8,$C74&gt;=Wirtschaftlichkeit!$Z$8*Eingabemaske!$B$18),$C74,"0"))</f>
        <v>0</v>
      </c>
      <c r="GP74" s="222">
        <v>5037</v>
      </c>
      <c r="GQ74" s="224">
        <f t="shared" si="122"/>
        <v>0</v>
      </c>
      <c r="GR74" s="222">
        <v>5037</v>
      </c>
      <c r="GS74" s="226" t="str">
        <f t="shared" si="123"/>
        <v xml:space="preserve"> </v>
      </c>
      <c r="GT74" s="312">
        <v>5037</v>
      </c>
      <c r="GU74" s="286">
        <f>GO74*Wirtschaftlichkeit!$Z$5/Wirtschaftlichkeit!$Z$7</f>
        <v>0</v>
      </c>
      <c r="GV74" s="284">
        <f t="shared" si="124"/>
        <v>0</v>
      </c>
      <c r="GW74" s="266"/>
      <c r="GX74" s="258">
        <v>5037</v>
      </c>
      <c r="GY74" s="270" t="str">
        <f>IF(Berechnung_Diagramme!$C$28=Berechnungen_Lastgang!$F$2,Berechnungen_Lastgang!G74,IF(Berechnung_Diagramme!$C$28=Berechnungen_Lastgang!$P$2,Berechnungen_Lastgang!Q74,IF(Berechnung_Diagramme!$C$28=Berechnungen_Lastgang!$Z$2,Berechnungen_Lastgang!AA74,IF(Berechnung_Diagramme!$C$28=Berechnungen_Lastgang!$AJ$2,Berechnungen_Lastgang!AK74,IF(Berechnung_Diagramme!$C$28=Berechnungen_Lastgang!$AT$2,Berechnungen_Lastgang!AU74,IF(Berechnung_Diagramme!$C$28=Berechnungen_Lastgang!$BD$2,Berechnungen_Lastgang!BE74,IF(Berechnung_Diagramme!$C$28=Berechnungen_Lastgang!$BN$2,Berechnungen_Lastgang!BO74,IF(Berechnung_Diagramme!$C$28=Berechnungen_Lastgang!$BX$2,Berechnungen_Lastgang!BY74,IF(Berechnung_Diagramme!$C$28=Berechnungen_Lastgang!$CH$2,Berechnungen_Lastgang!CI74,IF(Berechnung_Diagramme!$C$28=Berechnungen_Lastgang!$CR$2,Berechnungen_Lastgang!CS74,IF(Berechnung_Diagramme!$C$28=Berechnungen_Lastgang!$DB$2,Berechnungen_Lastgang!DC74,IF(Berechnung_Diagramme!$C$28=Berechnungen_Lastgang!$DL$2,Berechnungen_Lastgang!DM74,IF(Berechnung_Diagramme!$C$28=Berechnungen_Lastgang!$DV$2,Berechnungen_Lastgang!DW74,IF(Berechnung_Diagramme!$C$28=Berechnungen_Lastgang!$EF$2,Berechnungen_Lastgang!EG74,IF(Berechnung_Diagramme!$C$28=Berechnungen_Lastgang!$EP$2,Berechnungen_Lastgang!EQ74,IF(Berechnung_Diagramme!$C$28=Berechnungen_Lastgang!$EZ$2,Berechnungen_Lastgang!FA74,IF(Berechnung_Diagramme!$C$28=Berechnungen_Lastgang!$FJ$2,Berechnungen_Lastgang!FK74,IF(Berechnung_Diagramme!$C$28=Berechnungen_Lastgang!$FT$2,Berechnungen_Lastgang!FU74,IF(Berechnung_Diagramme!$C$28=Berechnungen_Lastgang!$GD$2,Berechnungen_Lastgang!GE74,IF(Berechnung_Diagramme!$C$28=Berechnungen_Lastgang!$GN$2,Berechnungen_Lastgang!GO74,""))))))))))))))))))))</f>
        <v>0</v>
      </c>
    </row>
    <row r="75" spans="2:207" x14ac:dyDescent="0.25">
      <c r="B75" s="64">
        <v>5110</v>
      </c>
      <c r="C75" s="67">
        <f>LARGE(Berechnung_Diagramme!$AB$5:$AB$16,8)</f>
        <v>7.6382999999999992</v>
      </c>
      <c r="D75" s="66">
        <f t="shared" si="64"/>
        <v>555.10258499999998</v>
      </c>
      <c r="F75" s="64">
        <v>5110</v>
      </c>
      <c r="G75" s="225">
        <f>IF($C75&gt;=Wirtschaftlichkeit!$G$8,Wirtschaftlichkeit!$G$8,IF(AND($C75&lt;=Wirtschaftlichkeit!$G$8,$C75&gt;=Wirtschaftlichkeit!$G$8*Eingabemaske!$B$18),$C75,"0"))</f>
        <v>2.8333333333333335</v>
      </c>
      <c r="H75" s="64">
        <v>5110</v>
      </c>
      <c r="I75" s="66">
        <f t="shared" si="65"/>
        <v>206.83333333333334</v>
      </c>
      <c r="J75" s="64">
        <v>5110</v>
      </c>
      <c r="K75" s="71">
        <f t="shared" si="66"/>
        <v>2.8333333333333335</v>
      </c>
      <c r="L75" s="312">
        <v>5110</v>
      </c>
      <c r="M75" s="286">
        <f>G75*Wirtschaftlichkeit!$G$5/Wirtschaftlichkeit!$G$7</f>
        <v>1</v>
      </c>
      <c r="N75" s="284">
        <f t="shared" si="67"/>
        <v>73</v>
      </c>
      <c r="P75" s="222">
        <v>5110</v>
      </c>
      <c r="Q75" s="225">
        <f>IF($C75&gt;=Wirtschaftlichkeit!$H$8,Wirtschaftlichkeit!$H$8,IF(AND($C75&lt;=Wirtschaftlichkeit!$H$8,$C75&gt;=Wirtschaftlichkeit!$H$8*Eingabemaske!$B$18),$C75,"0"))</f>
        <v>5.5876288659793811</v>
      </c>
      <c r="R75" s="222">
        <v>5110</v>
      </c>
      <c r="S75" s="224">
        <f t="shared" si="68"/>
        <v>407.89690721649481</v>
      </c>
      <c r="T75" s="222">
        <v>5110</v>
      </c>
      <c r="U75" s="226">
        <f t="shared" si="69"/>
        <v>5.5876288659793811</v>
      </c>
      <c r="V75" s="312">
        <v>5110</v>
      </c>
      <c r="W75" s="286">
        <f>Q75*Wirtschaftlichkeit!$H$5/Wirtschaftlichkeit!$H$7</f>
        <v>2</v>
      </c>
      <c r="X75" s="284">
        <f t="shared" si="70"/>
        <v>146</v>
      </c>
      <c r="Z75" s="222">
        <v>5110</v>
      </c>
      <c r="AA75" s="225">
        <f>IF($C75&gt;=Wirtschaftlichkeit!$I$8,Wirtschaftlichkeit!$I$8,IF(AND($C75&lt;=Wirtschaftlichkeit!$I$8,$C75&gt;=Wirtschaftlichkeit!$I$8*Eingabemaske!$B$18),$C75,"0"))</f>
        <v>7.6382999999999992</v>
      </c>
      <c r="AB75" s="222">
        <v>5110</v>
      </c>
      <c r="AC75" s="224">
        <f t="shared" si="71"/>
        <v>555.10258499999998</v>
      </c>
      <c r="AD75" s="222">
        <v>5110</v>
      </c>
      <c r="AE75" s="226">
        <f t="shared" si="72"/>
        <v>7.6382999999999992</v>
      </c>
      <c r="AF75" s="312">
        <v>5110</v>
      </c>
      <c r="AG75" s="286">
        <f>AA75*Wirtschaftlichkeit!$I$5/Wirtschaftlichkeit!$I$7</f>
        <v>2.7785186671256286</v>
      </c>
      <c r="AH75" s="284">
        <f t="shared" si="73"/>
        <v>201.92489095638965</v>
      </c>
      <c r="AJ75" s="222">
        <v>5110</v>
      </c>
      <c r="AK75" s="225">
        <f>IF($C75&gt;=Wirtschaftlichkeit!$J$8,Wirtschaftlichkeit!$J$8,IF(AND($C75&lt;=Wirtschaftlichkeit!$J$8,$C75&gt;=Wirtschaftlichkeit!$J$8*Eingabemaske!$B$18),$C75,"0"))</f>
        <v>7.6382999999999992</v>
      </c>
      <c r="AL75" s="222">
        <v>5110</v>
      </c>
      <c r="AM75" s="224">
        <f t="shared" si="74"/>
        <v>555.10258499999998</v>
      </c>
      <c r="AN75" s="222">
        <v>5110</v>
      </c>
      <c r="AO75" s="226">
        <f t="shared" si="75"/>
        <v>7.6382999999999992</v>
      </c>
      <c r="AP75" s="312">
        <v>5110</v>
      </c>
      <c r="AQ75" s="286">
        <f>AK75*Wirtschaftlichkeit!$J$5/Wirtschaftlichkeit!$J$7</f>
        <v>2.8994856028865899</v>
      </c>
      <c r="AR75" s="284">
        <f t="shared" si="76"/>
        <v>210.71599090538857</v>
      </c>
      <c r="AT75" s="222">
        <v>5110</v>
      </c>
      <c r="AU75" s="225">
        <f>IF($C75&gt;=Wirtschaftlichkeit!$K$8,Wirtschaftlichkeit!$K$8,IF(AND($C75&lt;=Wirtschaftlichkeit!$K$8,$C75&gt;=Wirtschaftlichkeit!$K$8*Eingabemaske!$B$18),$C75,"0"))</f>
        <v>7.6382999999999992</v>
      </c>
      <c r="AV75" s="222">
        <v>5110</v>
      </c>
      <c r="AW75" s="224">
        <f t="shared" si="77"/>
        <v>555.10258499999998</v>
      </c>
      <c r="AX75" s="222">
        <v>5110</v>
      </c>
      <c r="AY75" s="226">
        <f t="shared" si="78"/>
        <v>7.6382999999999992</v>
      </c>
      <c r="AZ75" s="312">
        <v>5110</v>
      </c>
      <c r="BA75" s="286">
        <f>AU75*Wirtschaftlichkeit!$K$5/Wirtschaftlichkeit!$K$7</f>
        <v>2.9979695225502634</v>
      </c>
      <c r="BB75" s="284">
        <f t="shared" si="79"/>
        <v>217.87316964754814</v>
      </c>
      <c r="BD75" s="222">
        <v>5110</v>
      </c>
      <c r="BE75" s="225">
        <f>IF($C75&gt;=Wirtschaftlichkeit!$L$8,Wirtschaftlichkeit!$L$8,IF(AND($C75&lt;=Wirtschaftlichkeit!$L$8,$C75&gt;=Wirtschaftlichkeit!$L$8*Eingabemaske!$B$18),$C75,"0"))</f>
        <v>7.6382999999999992</v>
      </c>
      <c r="BF75" s="222">
        <v>5110</v>
      </c>
      <c r="BG75" s="224">
        <f t="shared" si="80"/>
        <v>555.10258499999998</v>
      </c>
      <c r="BH75" s="222">
        <v>5110</v>
      </c>
      <c r="BI75" s="226">
        <f t="shared" si="81"/>
        <v>7.6382999999999992</v>
      </c>
      <c r="BJ75" s="312">
        <v>5110</v>
      </c>
      <c r="BK75" s="286">
        <f>BE75*Wirtschaftlichkeit!$L$5/Wirtschaftlichkeit!$L$7</f>
        <v>3.0816390657621042</v>
      </c>
      <c r="BL75" s="284">
        <f t="shared" si="82"/>
        <v>223.95373465843565</v>
      </c>
      <c r="BN75" s="222">
        <v>5110</v>
      </c>
      <c r="BO75" s="225" t="str">
        <f>IF($C75&gt;=Wirtschaftlichkeit!$M$8,Wirtschaftlichkeit!$M$8,IF(AND($C75&lt;=Wirtschaftlichkeit!$M$8,$C75&gt;=Wirtschaftlichkeit!$M$8*Eingabemaske!$B$18),$C75,"0"))</f>
        <v>0</v>
      </c>
      <c r="BP75" s="222">
        <v>5110</v>
      </c>
      <c r="BQ75" s="224">
        <f t="shared" si="83"/>
        <v>0</v>
      </c>
      <c r="BR75" s="222">
        <v>5110</v>
      </c>
      <c r="BS75" s="226" t="str">
        <f t="shared" si="84"/>
        <v xml:space="preserve"> </v>
      </c>
      <c r="BT75" s="312">
        <v>5110</v>
      </c>
      <c r="BU75" s="286">
        <f>BO75*Wirtschaftlichkeit!$M$5/Wirtschaftlichkeit!$M$7</f>
        <v>0</v>
      </c>
      <c r="BV75" s="284">
        <f t="shared" si="85"/>
        <v>0</v>
      </c>
      <c r="BX75" s="222">
        <v>5110</v>
      </c>
      <c r="BY75" s="225" t="str">
        <f>IF($C75&gt;=Wirtschaftlichkeit!$N$8,Wirtschaftlichkeit!$N$8,IF(AND($C75&lt;=Wirtschaftlichkeit!$N$8,$C75&gt;=Wirtschaftlichkeit!$N$8*Eingabemaske!$B$18),$C75,"0"))</f>
        <v>0</v>
      </c>
      <c r="BZ75" s="222">
        <v>5110</v>
      </c>
      <c r="CA75" s="224">
        <f t="shared" si="86"/>
        <v>0</v>
      </c>
      <c r="CB75" s="222">
        <v>5110</v>
      </c>
      <c r="CC75" s="226" t="str">
        <f t="shared" si="87"/>
        <v xml:space="preserve"> </v>
      </c>
      <c r="CD75" s="312">
        <v>5110</v>
      </c>
      <c r="CE75" s="286">
        <f>BY75*Wirtschaftlichkeit!$N$5/Wirtschaftlichkeit!$N$7</f>
        <v>0</v>
      </c>
      <c r="CF75" s="284">
        <f t="shared" si="88"/>
        <v>0</v>
      </c>
      <c r="CH75" s="222">
        <v>5110</v>
      </c>
      <c r="CI75" s="225" t="str">
        <f>IF($C75&gt;=Wirtschaftlichkeit!$O$8,Wirtschaftlichkeit!$O$8,IF(AND($C75&lt;=Wirtschaftlichkeit!$O$8,$C75&gt;=Wirtschaftlichkeit!$O$8*Eingabemaske!$B$18),$C75,"0"))</f>
        <v>0</v>
      </c>
      <c r="CJ75" s="222">
        <v>5110</v>
      </c>
      <c r="CK75" s="224">
        <f t="shared" si="89"/>
        <v>0</v>
      </c>
      <c r="CL75" s="222">
        <v>5110</v>
      </c>
      <c r="CM75" s="226" t="str">
        <f t="shared" si="90"/>
        <v xml:space="preserve"> </v>
      </c>
      <c r="CN75" s="312">
        <v>5110</v>
      </c>
      <c r="CO75" s="286">
        <f>CI75*Wirtschaftlichkeit!$O$5/Wirtschaftlichkeit!$O$7</f>
        <v>0</v>
      </c>
      <c r="CP75" s="284">
        <f t="shared" si="91"/>
        <v>0</v>
      </c>
      <c r="CR75" s="222">
        <v>5110</v>
      </c>
      <c r="CS75" s="225" t="str">
        <f>IF($C75&gt;=Wirtschaftlichkeit!$P$8,Wirtschaftlichkeit!$P$8,IF(AND($C75&lt;=Wirtschaftlichkeit!$P$8,$C75&gt;=Wirtschaftlichkeit!$P$8*Eingabemaske!$B$18),$C75,"0"))</f>
        <v>0</v>
      </c>
      <c r="CT75" s="222">
        <v>5110</v>
      </c>
      <c r="CU75" s="224">
        <f t="shared" si="92"/>
        <v>0</v>
      </c>
      <c r="CV75" s="222">
        <v>5110</v>
      </c>
      <c r="CW75" s="226" t="str">
        <f t="shared" si="93"/>
        <v xml:space="preserve"> </v>
      </c>
      <c r="CX75" s="312">
        <v>5110</v>
      </c>
      <c r="CY75" s="286">
        <f>CS75*Wirtschaftlichkeit!$P$5/Wirtschaftlichkeit!$P$7</f>
        <v>0</v>
      </c>
      <c r="CZ75" s="284">
        <f t="shared" si="94"/>
        <v>0</v>
      </c>
      <c r="DB75" s="222">
        <v>5110</v>
      </c>
      <c r="DC75" s="225" t="str">
        <f>IF($C75&gt;=Wirtschaftlichkeit!$Q$8,Wirtschaftlichkeit!$Q$8,IF(AND($C75&lt;=Wirtschaftlichkeit!$Q$8,$C75&gt;=Wirtschaftlichkeit!$Q$8*Eingabemaske!$B$18),$C75,"0"))</f>
        <v>0</v>
      </c>
      <c r="DD75" s="222">
        <v>5110</v>
      </c>
      <c r="DE75" s="224">
        <f t="shared" si="95"/>
        <v>0</v>
      </c>
      <c r="DF75" s="222">
        <v>5110</v>
      </c>
      <c r="DG75" s="226" t="str">
        <f t="shared" si="96"/>
        <v xml:space="preserve"> </v>
      </c>
      <c r="DH75" s="312">
        <v>5110</v>
      </c>
      <c r="DI75" s="286">
        <f>DC75*Wirtschaftlichkeit!$Q$5/Wirtschaftlichkeit!$Q$7</f>
        <v>0</v>
      </c>
      <c r="DJ75" s="284">
        <f t="shared" si="97"/>
        <v>0</v>
      </c>
      <c r="DL75" s="222">
        <v>5110</v>
      </c>
      <c r="DM75" s="225" t="str">
        <f>IF($C75&gt;=Wirtschaftlichkeit!$R$8,Wirtschaftlichkeit!$R$8,IF(AND($C75&lt;=Wirtschaftlichkeit!$R$8,$C75&gt;=Wirtschaftlichkeit!$R$8*Eingabemaske!$B$18),$C75,"0"))</f>
        <v>0</v>
      </c>
      <c r="DN75" s="222">
        <v>5110</v>
      </c>
      <c r="DO75" s="224">
        <f t="shared" si="98"/>
        <v>0</v>
      </c>
      <c r="DP75" s="222">
        <v>5110</v>
      </c>
      <c r="DQ75" s="226" t="str">
        <f t="shared" si="99"/>
        <v xml:space="preserve"> </v>
      </c>
      <c r="DR75" s="312">
        <v>5110</v>
      </c>
      <c r="DS75" s="286">
        <f>DM75*Wirtschaftlichkeit!$R$5/Wirtschaftlichkeit!$R$7</f>
        <v>0</v>
      </c>
      <c r="DT75" s="284">
        <f t="shared" si="100"/>
        <v>0</v>
      </c>
      <c r="DV75" s="222">
        <v>5110</v>
      </c>
      <c r="DW75" s="225" t="str">
        <f>IF($C75&gt;=Wirtschaftlichkeit!$S$8,Wirtschaftlichkeit!$S$8,IF(AND($C75&lt;=Wirtschaftlichkeit!$S$8,$C75&gt;=Wirtschaftlichkeit!$S$8*Eingabemaske!$B$18),$C75,"0"))</f>
        <v>0</v>
      </c>
      <c r="DX75" s="222">
        <v>5110</v>
      </c>
      <c r="DY75" s="224">
        <f t="shared" si="101"/>
        <v>0</v>
      </c>
      <c r="DZ75" s="222">
        <v>5110</v>
      </c>
      <c r="EA75" s="226" t="str">
        <f t="shared" si="102"/>
        <v xml:space="preserve"> </v>
      </c>
      <c r="EB75" s="312">
        <v>5110</v>
      </c>
      <c r="EC75" s="286">
        <f>DW75*Wirtschaftlichkeit!$S$5/Wirtschaftlichkeit!$S$7</f>
        <v>0</v>
      </c>
      <c r="ED75" s="284">
        <f t="shared" si="103"/>
        <v>0</v>
      </c>
      <c r="EF75" s="222">
        <v>5110</v>
      </c>
      <c r="EG75" s="225" t="str">
        <f>IF($C75&gt;=Wirtschaftlichkeit!$T$8,Wirtschaftlichkeit!$T$8,IF(AND($C75&lt;=Wirtschaftlichkeit!$T$8,$C75&gt;=Wirtschaftlichkeit!$T$8*Eingabemaske!$B$18),$C75,"0"))</f>
        <v>0</v>
      </c>
      <c r="EH75" s="222">
        <v>5110</v>
      </c>
      <c r="EI75" s="224">
        <f t="shared" si="104"/>
        <v>0</v>
      </c>
      <c r="EJ75" s="222">
        <v>5110</v>
      </c>
      <c r="EK75" s="226" t="str">
        <f t="shared" si="105"/>
        <v xml:space="preserve"> </v>
      </c>
      <c r="EL75" s="312">
        <v>5110</v>
      </c>
      <c r="EM75" s="286">
        <f>EG75*Wirtschaftlichkeit!$T$5/Wirtschaftlichkeit!$T$7</f>
        <v>0</v>
      </c>
      <c r="EN75" s="284">
        <f t="shared" si="106"/>
        <v>0</v>
      </c>
      <c r="EP75" s="222">
        <v>5110</v>
      </c>
      <c r="EQ75" s="225" t="str">
        <f>IF($C75&gt;=Wirtschaftlichkeit!$U$8,Wirtschaftlichkeit!$U$8,IF(AND($C75&lt;=Wirtschaftlichkeit!$U$8,$C75&gt;=Wirtschaftlichkeit!$U$8*Eingabemaske!$B$18),$C75,"0"))</f>
        <v>0</v>
      </c>
      <c r="ER75" s="222">
        <v>5110</v>
      </c>
      <c r="ES75" s="224">
        <f t="shared" si="107"/>
        <v>0</v>
      </c>
      <c r="ET75" s="222">
        <v>5110</v>
      </c>
      <c r="EU75" s="226" t="str">
        <f t="shared" si="108"/>
        <v xml:space="preserve"> </v>
      </c>
      <c r="EV75" s="312">
        <v>5110</v>
      </c>
      <c r="EW75" s="286">
        <f>EQ75*Wirtschaftlichkeit!$U$5/Wirtschaftlichkeit!$U$7</f>
        <v>0</v>
      </c>
      <c r="EX75" s="284">
        <f t="shared" si="109"/>
        <v>0</v>
      </c>
      <c r="EZ75" s="222">
        <v>5110</v>
      </c>
      <c r="FA75" s="225" t="str">
        <f>IF($C75&gt;=Wirtschaftlichkeit!$V$8,Wirtschaftlichkeit!$V$8,IF(AND($C75&lt;=Wirtschaftlichkeit!$V$8,$C75&gt;=Wirtschaftlichkeit!$V$8*Eingabemaske!$B$18),$C75,"0"))</f>
        <v>0</v>
      </c>
      <c r="FB75" s="222">
        <v>5110</v>
      </c>
      <c r="FC75" s="224">
        <f t="shared" si="110"/>
        <v>0</v>
      </c>
      <c r="FD75" s="222">
        <v>5110</v>
      </c>
      <c r="FE75" s="226" t="str">
        <f t="shared" si="111"/>
        <v xml:space="preserve"> </v>
      </c>
      <c r="FF75" s="312">
        <v>5110</v>
      </c>
      <c r="FG75" s="286">
        <f>FA75*Wirtschaftlichkeit!$V$5/Wirtschaftlichkeit!$V$7</f>
        <v>0</v>
      </c>
      <c r="FH75" s="284">
        <f t="shared" si="112"/>
        <v>0</v>
      </c>
      <c r="FJ75" s="222">
        <v>5110</v>
      </c>
      <c r="FK75" s="225" t="str">
        <f>IF($C75&gt;=Wirtschaftlichkeit!$W$8,Wirtschaftlichkeit!$W$8,IF(AND($C75&lt;=Wirtschaftlichkeit!$W$8,$C75&gt;=Wirtschaftlichkeit!$W$8*Eingabemaske!$B$18),$C75,"0"))</f>
        <v>0</v>
      </c>
      <c r="FL75" s="222">
        <v>5110</v>
      </c>
      <c r="FM75" s="224">
        <f t="shared" si="113"/>
        <v>0</v>
      </c>
      <c r="FN75" s="222">
        <v>5110</v>
      </c>
      <c r="FO75" s="226" t="str">
        <f t="shared" si="114"/>
        <v xml:space="preserve"> </v>
      </c>
      <c r="FP75" s="312">
        <v>5110</v>
      </c>
      <c r="FQ75" s="286">
        <f>FK75*Wirtschaftlichkeit!$W$5/Wirtschaftlichkeit!$W$7</f>
        <v>0</v>
      </c>
      <c r="FR75" s="284">
        <f t="shared" si="115"/>
        <v>0</v>
      </c>
      <c r="FT75" s="222">
        <v>5110</v>
      </c>
      <c r="FU75" s="225" t="str">
        <f>IF($C75&gt;=Wirtschaftlichkeit!$X$8,Wirtschaftlichkeit!$X$8,IF(AND($C75&lt;=Wirtschaftlichkeit!$X$8,$C75&gt;=Wirtschaftlichkeit!$X$8*Eingabemaske!$B$18),$C75,"0"))</f>
        <v>0</v>
      </c>
      <c r="FV75" s="222">
        <v>5110</v>
      </c>
      <c r="FW75" s="224">
        <f t="shared" si="116"/>
        <v>0</v>
      </c>
      <c r="FX75" s="222">
        <v>5110</v>
      </c>
      <c r="FY75" s="226" t="str">
        <f t="shared" si="117"/>
        <v xml:space="preserve"> </v>
      </c>
      <c r="FZ75" s="312">
        <v>5110</v>
      </c>
      <c r="GA75" s="286">
        <f>FU75*Wirtschaftlichkeit!$X$5/Wirtschaftlichkeit!$X$7</f>
        <v>0</v>
      </c>
      <c r="GB75" s="284">
        <f t="shared" si="118"/>
        <v>0</v>
      </c>
      <c r="GD75" s="222">
        <v>5110</v>
      </c>
      <c r="GE75" s="225" t="str">
        <f>IF($C75&gt;=Wirtschaftlichkeit!$Y$8,Wirtschaftlichkeit!$Y$8,IF(AND($C75&lt;=Wirtschaftlichkeit!$Y$8,$C75&gt;=Wirtschaftlichkeit!$Y$8*Eingabemaske!$B$18),$C75,"0"))</f>
        <v>0</v>
      </c>
      <c r="GF75" s="222">
        <v>5110</v>
      </c>
      <c r="GG75" s="224">
        <f t="shared" si="119"/>
        <v>0</v>
      </c>
      <c r="GH75" s="222">
        <v>5110</v>
      </c>
      <c r="GI75" s="226" t="str">
        <f t="shared" si="120"/>
        <v xml:space="preserve"> </v>
      </c>
      <c r="GJ75" s="312">
        <v>5110</v>
      </c>
      <c r="GK75" s="286">
        <f>GE75*Wirtschaftlichkeit!$Y$5/Wirtschaftlichkeit!$Y$7</f>
        <v>0</v>
      </c>
      <c r="GL75" s="284">
        <f t="shared" si="121"/>
        <v>0</v>
      </c>
      <c r="GN75" s="222">
        <v>5110</v>
      </c>
      <c r="GO75" s="225" t="str">
        <f>IF($C75&gt;=Wirtschaftlichkeit!$Z$8,Wirtschaftlichkeit!$Z$8,IF(AND($C75&lt;=Wirtschaftlichkeit!$Z$8,$C75&gt;=Wirtschaftlichkeit!$Z$8*Eingabemaske!$B$18),$C75,"0"))</f>
        <v>0</v>
      </c>
      <c r="GP75" s="222">
        <v>5110</v>
      </c>
      <c r="GQ75" s="224">
        <f t="shared" si="122"/>
        <v>0</v>
      </c>
      <c r="GR75" s="222">
        <v>5110</v>
      </c>
      <c r="GS75" s="226" t="str">
        <f t="shared" si="123"/>
        <v xml:space="preserve"> </v>
      </c>
      <c r="GT75" s="312">
        <v>5110</v>
      </c>
      <c r="GU75" s="286">
        <f>GO75*Wirtschaftlichkeit!$Z$5/Wirtschaftlichkeit!$Z$7</f>
        <v>0</v>
      </c>
      <c r="GV75" s="284">
        <f t="shared" si="124"/>
        <v>0</v>
      </c>
      <c r="GW75" s="266"/>
      <c r="GX75" s="258">
        <v>5110</v>
      </c>
      <c r="GY75" s="270" t="str">
        <f>IF(Berechnung_Diagramme!$C$28=Berechnungen_Lastgang!$F$2,Berechnungen_Lastgang!G75,IF(Berechnung_Diagramme!$C$28=Berechnungen_Lastgang!$P$2,Berechnungen_Lastgang!Q75,IF(Berechnung_Diagramme!$C$28=Berechnungen_Lastgang!$Z$2,Berechnungen_Lastgang!AA75,IF(Berechnung_Diagramme!$C$28=Berechnungen_Lastgang!$AJ$2,Berechnungen_Lastgang!AK75,IF(Berechnung_Diagramme!$C$28=Berechnungen_Lastgang!$AT$2,Berechnungen_Lastgang!AU75,IF(Berechnung_Diagramme!$C$28=Berechnungen_Lastgang!$BD$2,Berechnungen_Lastgang!BE75,IF(Berechnung_Diagramme!$C$28=Berechnungen_Lastgang!$BN$2,Berechnungen_Lastgang!BO75,IF(Berechnung_Diagramme!$C$28=Berechnungen_Lastgang!$BX$2,Berechnungen_Lastgang!BY75,IF(Berechnung_Diagramme!$C$28=Berechnungen_Lastgang!$CH$2,Berechnungen_Lastgang!CI75,IF(Berechnung_Diagramme!$C$28=Berechnungen_Lastgang!$CR$2,Berechnungen_Lastgang!CS75,IF(Berechnung_Diagramme!$C$28=Berechnungen_Lastgang!$DB$2,Berechnungen_Lastgang!DC75,IF(Berechnung_Diagramme!$C$28=Berechnungen_Lastgang!$DL$2,Berechnungen_Lastgang!DM75,IF(Berechnung_Diagramme!$C$28=Berechnungen_Lastgang!$DV$2,Berechnungen_Lastgang!DW75,IF(Berechnung_Diagramme!$C$28=Berechnungen_Lastgang!$EF$2,Berechnungen_Lastgang!EG75,IF(Berechnung_Diagramme!$C$28=Berechnungen_Lastgang!$EP$2,Berechnungen_Lastgang!EQ75,IF(Berechnung_Diagramme!$C$28=Berechnungen_Lastgang!$EZ$2,Berechnungen_Lastgang!FA75,IF(Berechnung_Diagramme!$C$28=Berechnungen_Lastgang!$FJ$2,Berechnungen_Lastgang!FK75,IF(Berechnung_Diagramme!$C$28=Berechnungen_Lastgang!$FT$2,Berechnungen_Lastgang!FU75,IF(Berechnung_Diagramme!$C$28=Berechnungen_Lastgang!$GD$2,Berechnungen_Lastgang!GE75,IF(Berechnung_Diagramme!$C$28=Berechnungen_Lastgang!$GN$2,Berechnungen_Lastgang!GO75,""))))))))))))))))))))</f>
        <v>0</v>
      </c>
    </row>
    <row r="76" spans="2:207" x14ac:dyDescent="0.25">
      <c r="B76" s="64">
        <v>5183</v>
      </c>
      <c r="C76" s="67">
        <f>C75+((C80-C75)/(B80-B75))*(B76-B75)</f>
        <v>7.5699899999999989</v>
      </c>
      <c r="D76" s="66">
        <f t="shared" si="64"/>
        <v>550.11595499999987</v>
      </c>
      <c r="F76" s="64">
        <v>5183</v>
      </c>
      <c r="G76" s="225">
        <f>IF($C76&gt;=Wirtschaftlichkeit!$G$8,Wirtschaftlichkeit!$G$8,IF(AND($C76&lt;=Wirtschaftlichkeit!$G$8,$C76&gt;=Wirtschaftlichkeit!$G$8*Eingabemaske!$B$18),$C76,"0"))</f>
        <v>2.8333333333333335</v>
      </c>
      <c r="H76" s="64">
        <v>5183</v>
      </c>
      <c r="I76" s="66">
        <f t="shared" si="65"/>
        <v>206.83333333333334</v>
      </c>
      <c r="J76" s="64">
        <v>5183</v>
      </c>
      <c r="K76" s="71">
        <f t="shared" si="66"/>
        <v>2.8333333333333335</v>
      </c>
      <c r="L76" s="312">
        <v>5183</v>
      </c>
      <c r="M76" s="286">
        <f>G76*Wirtschaftlichkeit!$G$5/Wirtschaftlichkeit!$G$7</f>
        <v>1</v>
      </c>
      <c r="N76" s="284">
        <f t="shared" si="67"/>
        <v>73</v>
      </c>
      <c r="P76" s="222">
        <v>5183</v>
      </c>
      <c r="Q76" s="225">
        <f>IF($C76&gt;=Wirtschaftlichkeit!$H$8,Wirtschaftlichkeit!$H$8,IF(AND($C76&lt;=Wirtschaftlichkeit!$H$8,$C76&gt;=Wirtschaftlichkeit!$H$8*Eingabemaske!$B$18),$C76,"0"))</f>
        <v>5.5876288659793811</v>
      </c>
      <c r="R76" s="222">
        <v>5183</v>
      </c>
      <c r="S76" s="224">
        <f t="shared" si="68"/>
        <v>407.89690721649481</v>
      </c>
      <c r="T76" s="222">
        <v>5183</v>
      </c>
      <c r="U76" s="226">
        <f t="shared" si="69"/>
        <v>5.5876288659793811</v>
      </c>
      <c r="V76" s="312">
        <v>5183</v>
      </c>
      <c r="W76" s="286">
        <f>Q76*Wirtschaftlichkeit!$H$5/Wirtschaftlichkeit!$H$7</f>
        <v>2</v>
      </c>
      <c r="X76" s="284">
        <f t="shared" si="70"/>
        <v>146</v>
      </c>
      <c r="Z76" s="222">
        <v>5183</v>
      </c>
      <c r="AA76" s="225">
        <f>IF($C76&gt;=Wirtschaftlichkeit!$I$8,Wirtschaftlichkeit!$I$8,IF(AND($C76&lt;=Wirtschaftlichkeit!$I$8,$C76&gt;=Wirtschaftlichkeit!$I$8*Eingabemaske!$B$18),$C76,"0"))</f>
        <v>7.5699899999999989</v>
      </c>
      <c r="AB76" s="222">
        <v>5183</v>
      </c>
      <c r="AC76" s="224">
        <f t="shared" si="71"/>
        <v>550.11595499999987</v>
      </c>
      <c r="AD76" s="222">
        <v>5183</v>
      </c>
      <c r="AE76" s="226">
        <f t="shared" si="72"/>
        <v>7.5699899999999989</v>
      </c>
      <c r="AF76" s="312">
        <v>5183</v>
      </c>
      <c r="AG76" s="286">
        <f>AA76*Wirtschaftlichkeit!$I$5/Wirtschaftlichkeit!$I$7</f>
        <v>2.7536701262001149</v>
      </c>
      <c r="AH76" s="284">
        <f t="shared" si="73"/>
        <v>200.11094746882713</v>
      </c>
      <c r="AJ76" s="222">
        <v>5183</v>
      </c>
      <c r="AK76" s="225">
        <f>IF($C76&gt;=Wirtschaftlichkeit!$J$8,Wirtschaftlichkeit!$J$8,IF(AND($C76&lt;=Wirtschaftlichkeit!$J$8,$C76&gt;=Wirtschaftlichkeit!$J$8*Eingabemaske!$B$18),$C76,"0"))</f>
        <v>7.5699899999999989</v>
      </c>
      <c r="AL76" s="222">
        <v>5183</v>
      </c>
      <c r="AM76" s="224">
        <f t="shared" si="74"/>
        <v>550.11595499999987</v>
      </c>
      <c r="AN76" s="222">
        <v>5183</v>
      </c>
      <c r="AO76" s="226">
        <f t="shared" si="75"/>
        <v>7.5699899999999989</v>
      </c>
      <c r="AP76" s="312">
        <v>5183</v>
      </c>
      <c r="AQ76" s="286">
        <f>AK76*Wirtschaftlichkeit!$J$5/Wirtschaftlichkeit!$J$7</f>
        <v>2.8735552438363841</v>
      </c>
      <c r="AR76" s="284">
        <f t="shared" si="76"/>
        <v>208.82307469472357</v>
      </c>
      <c r="AT76" s="222">
        <v>5183</v>
      </c>
      <c r="AU76" s="225">
        <f>IF($C76&gt;=Wirtschaftlichkeit!$K$8,Wirtschaftlichkeit!$K$8,IF(AND($C76&lt;=Wirtschaftlichkeit!$K$8,$C76&gt;=Wirtschaftlichkeit!$K$8*Eingabemaske!$B$18),$C76,"0"))</f>
        <v>7.5699899999999989</v>
      </c>
      <c r="AV76" s="222">
        <v>5183</v>
      </c>
      <c r="AW76" s="224">
        <f t="shared" si="77"/>
        <v>550.11595499999987</v>
      </c>
      <c r="AX76" s="222">
        <v>5183</v>
      </c>
      <c r="AY76" s="226">
        <f t="shared" si="78"/>
        <v>7.5699899999999989</v>
      </c>
      <c r="AZ76" s="312">
        <v>5183</v>
      </c>
      <c r="BA76" s="286">
        <f>AU76*Wirtschaftlichkeit!$K$5/Wirtschaftlichkeit!$K$7</f>
        <v>2.9711584129990007</v>
      </c>
      <c r="BB76" s="284">
        <f t="shared" si="79"/>
        <v>215.91595865030598</v>
      </c>
      <c r="BD76" s="222">
        <v>5183</v>
      </c>
      <c r="BE76" s="225">
        <f>IF($C76&gt;=Wirtschaftlichkeit!$L$8,Wirtschaftlichkeit!$L$8,IF(AND($C76&lt;=Wirtschaftlichkeit!$L$8,$C76&gt;=Wirtschaftlichkeit!$L$8*Eingabemaske!$B$18),$C76,"0"))</f>
        <v>7.5699899999999989</v>
      </c>
      <c r="BF76" s="222">
        <v>5183</v>
      </c>
      <c r="BG76" s="224">
        <f t="shared" si="80"/>
        <v>550.11595499999987</v>
      </c>
      <c r="BH76" s="222">
        <v>5183</v>
      </c>
      <c r="BI76" s="226">
        <f t="shared" si="81"/>
        <v>7.5699899999999989</v>
      </c>
      <c r="BJ76" s="312">
        <v>5183</v>
      </c>
      <c r="BK76" s="286">
        <f>BE76*Wirtschaftlichkeit!$L$5/Wirtschaftlichkeit!$L$7</f>
        <v>3.0540796920032558</v>
      </c>
      <c r="BL76" s="284">
        <f t="shared" si="82"/>
        <v>221.94190037403968</v>
      </c>
      <c r="BN76" s="222">
        <v>5183</v>
      </c>
      <c r="BO76" s="225" t="str">
        <f>IF($C76&gt;=Wirtschaftlichkeit!$M$8,Wirtschaftlichkeit!$M$8,IF(AND($C76&lt;=Wirtschaftlichkeit!$M$8,$C76&gt;=Wirtschaftlichkeit!$M$8*Eingabemaske!$B$18),$C76,"0"))</f>
        <v>0</v>
      </c>
      <c r="BP76" s="222">
        <v>5183</v>
      </c>
      <c r="BQ76" s="224">
        <f t="shared" si="83"/>
        <v>0</v>
      </c>
      <c r="BR76" s="222">
        <v>5183</v>
      </c>
      <c r="BS76" s="226" t="str">
        <f t="shared" si="84"/>
        <v xml:space="preserve"> </v>
      </c>
      <c r="BT76" s="312">
        <v>5183</v>
      </c>
      <c r="BU76" s="286">
        <f>BO76*Wirtschaftlichkeit!$M$5/Wirtschaftlichkeit!$M$7</f>
        <v>0</v>
      </c>
      <c r="BV76" s="284">
        <f t="shared" si="85"/>
        <v>0</v>
      </c>
      <c r="BX76" s="222">
        <v>5183</v>
      </c>
      <c r="BY76" s="225" t="str">
        <f>IF($C76&gt;=Wirtschaftlichkeit!$N$8,Wirtschaftlichkeit!$N$8,IF(AND($C76&lt;=Wirtschaftlichkeit!$N$8,$C76&gt;=Wirtschaftlichkeit!$N$8*Eingabemaske!$B$18),$C76,"0"))</f>
        <v>0</v>
      </c>
      <c r="BZ76" s="222">
        <v>5183</v>
      </c>
      <c r="CA76" s="224">
        <f t="shared" si="86"/>
        <v>0</v>
      </c>
      <c r="CB76" s="222">
        <v>5183</v>
      </c>
      <c r="CC76" s="226" t="str">
        <f t="shared" si="87"/>
        <v xml:space="preserve"> </v>
      </c>
      <c r="CD76" s="312">
        <v>5183</v>
      </c>
      <c r="CE76" s="286">
        <f>BY76*Wirtschaftlichkeit!$N$5/Wirtschaftlichkeit!$N$7</f>
        <v>0</v>
      </c>
      <c r="CF76" s="284">
        <f t="shared" si="88"/>
        <v>0</v>
      </c>
      <c r="CH76" s="222">
        <v>5183</v>
      </c>
      <c r="CI76" s="225" t="str">
        <f>IF($C76&gt;=Wirtschaftlichkeit!$O$8,Wirtschaftlichkeit!$O$8,IF(AND($C76&lt;=Wirtschaftlichkeit!$O$8,$C76&gt;=Wirtschaftlichkeit!$O$8*Eingabemaske!$B$18),$C76,"0"))</f>
        <v>0</v>
      </c>
      <c r="CJ76" s="222">
        <v>5183</v>
      </c>
      <c r="CK76" s="224">
        <f t="shared" si="89"/>
        <v>0</v>
      </c>
      <c r="CL76" s="222">
        <v>5183</v>
      </c>
      <c r="CM76" s="226" t="str">
        <f t="shared" si="90"/>
        <v xml:space="preserve"> </v>
      </c>
      <c r="CN76" s="312">
        <v>5183</v>
      </c>
      <c r="CO76" s="286">
        <f>CI76*Wirtschaftlichkeit!$O$5/Wirtschaftlichkeit!$O$7</f>
        <v>0</v>
      </c>
      <c r="CP76" s="284">
        <f t="shared" si="91"/>
        <v>0</v>
      </c>
      <c r="CR76" s="222">
        <v>5183</v>
      </c>
      <c r="CS76" s="225" t="str">
        <f>IF($C76&gt;=Wirtschaftlichkeit!$P$8,Wirtschaftlichkeit!$P$8,IF(AND($C76&lt;=Wirtschaftlichkeit!$P$8,$C76&gt;=Wirtschaftlichkeit!$P$8*Eingabemaske!$B$18),$C76,"0"))</f>
        <v>0</v>
      </c>
      <c r="CT76" s="222">
        <v>5183</v>
      </c>
      <c r="CU76" s="224">
        <f t="shared" si="92"/>
        <v>0</v>
      </c>
      <c r="CV76" s="222">
        <v>5183</v>
      </c>
      <c r="CW76" s="226" t="str">
        <f t="shared" si="93"/>
        <v xml:space="preserve"> </v>
      </c>
      <c r="CX76" s="312">
        <v>5183</v>
      </c>
      <c r="CY76" s="286">
        <f>CS76*Wirtschaftlichkeit!$P$5/Wirtschaftlichkeit!$P$7</f>
        <v>0</v>
      </c>
      <c r="CZ76" s="284">
        <f t="shared" si="94"/>
        <v>0</v>
      </c>
      <c r="DB76" s="222">
        <v>5183</v>
      </c>
      <c r="DC76" s="225" t="str">
        <f>IF($C76&gt;=Wirtschaftlichkeit!$Q$8,Wirtschaftlichkeit!$Q$8,IF(AND($C76&lt;=Wirtschaftlichkeit!$Q$8,$C76&gt;=Wirtschaftlichkeit!$Q$8*Eingabemaske!$B$18),$C76,"0"))</f>
        <v>0</v>
      </c>
      <c r="DD76" s="222">
        <v>5183</v>
      </c>
      <c r="DE76" s="224">
        <f t="shared" si="95"/>
        <v>0</v>
      </c>
      <c r="DF76" s="222">
        <v>5183</v>
      </c>
      <c r="DG76" s="226" t="str">
        <f t="shared" si="96"/>
        <v xml:space="preserve"> </v>
      </c>
      <c r="DH76" s="312">
        <v>5183</v>
      </c>
      <c r="DI76" s="286">
        <f>DC76*Wirtschaftlichkeit!$Q$5/Wirtschaftlichkeit!$Q$7</f>
        <v>0</v>
      </c>
      <c r="DJ76" s="284">
        <f t="shared" si="97"/>
        <v>0</v>
      </c>
      <c r="DL76" s="222">
        <v>5183</v>
      </c>
      <c r="DM76" s="225" t="str">
        <f>IF($C76&gt;=Wirtschaftlichkeit!$R$8,Wirtschaftlichkeit!$R$8,IF(AND($C76&lt;=Wirtschaftlichkeit!$R$8,$C76&gt;=Wirtschaftlichkeit!$R$8*Eingabemaske!$B$18),$C76,"0"))</f>
        <v>0</v>
      </c>
      <c r="DN76" s="222">
        <v>5183</v>
      </c>
      <c r="DO76" s="224">
        <f t="shared" si="98"/>
        <v>0</v>
      </c>
      <c r="DP76" s="222">
        <v>5183</v>
      </c>
      <c r="DQ76" s="226" t="str">
        <f t="shared" si="99"/>
        <v xml:space="preserve"> </v>
      </c>
      <c r="DR76" s="312">
        <v>5183</v>
      </c>
      <c r="DS76" s="286">
        <f>DM76*Wirtschaftlichkeit!$R$5/Wirtschaftlichkeit!$R$7</f>
        <v>0</v>
      </c>
      <c r="DT76" s="284">
        <f t="shared" si="100"/>
        <v>0</v>
      </c>
      <c r="DV76" s="222">
        <v>5183</v>
      </c>
      <c r="DW76" s="225" t="str">
        <f>IF($C76&gt;=Wirtschaftlichkeit!$S$8,Wirtschaftlichkeit!$S$8,IF(AND($C76&lt;=Wirtschaftlichkeit!$S$8,$C76&gt;=Wirtschaftlichkeit!$S$8*Eingabemaske!$B$18),$C76,"0"))</f>
        <v>0</v>
      </c>
      <c r="DX76" s="222">
        <v>5183</v>
      </c>
      <c r="DY76" s="224">
        <f t="shared" si="101"/>
        <v>0</v>
      </c>
      <c r="DZ76" s="222">
        <v>5183</v>
      </c>
      <c r="EA76" s="226" t="str">
        <f t="shared" si="102"/>
        <v xml:space="preserve"> </v>
      </c>
      <c r="EB76" s="312">
        <v>5183</v>
      </c>
      <c r="EC76" s="286">
        <f>DW76*Wirtschaftlichkeit!$S$5/Wirtschaftlichkeit!$S$7</f>
        <v>0</v>
      </c>
      <c r="ED76" s="284">
        <f t="shared" si="103"/>
        <v>0</v>
      </c>
      <c r="EF76" s="222">
        <v>5183</v>
      </c>
      <c r="EG76" s="225" t="str">
        <f>IF($C76&gt;=Wirtschaftlichkeit!$T$8,Wirtschaftlichkeit!$T$8,IF(AND($C76&lt;=Wirtschaftlichkeit!$T$8,$C76&gt;=Wirtschaftlichkeit!$T$8*Eingabemaske!$B$18),$C76,"0"))</f>
        <v>0</v>
      </c>
      <c r="EH76" s="222">
        <v>5183</v>
      </c>
      <c r="EI76" s="224">
        <f t="shared" si="104"/>
        <v>0</v>
      </c>
      <c r="EJ76" s="222">
        <v>5183</v>
      </c>
      <c r="EK76" s="226" t="str">
        <f t="shared" si="105"/>
        <v xml:space="preserve"> </v>
      </c>
      <c r="EL76" s="312">
        <v>5183</v>
      </c>
      <c r="EM76" s="286">
        <f>EG76*Wirtschaftlichkeit!$T$5/Wirtschaftlichkeit!$T$7</f>
        <v>0</v>
      </c>
      <c r="EN76" s="284">
        <f t="shared" si="106"/>
        <v>0</v>
      </c>
      <c r="EP76" s="222">
        <v>5183</v>
      </c>
      <c r="EQ76" s="225" t="str">
        <f>IF($C76&gt;=Wirtschaftlichkeit!$U$8,Wirtschaftlichkeit!$U$8,IF(AND($C76&lt;=Wirtschaftlichkeit!$U$8,$C76&gt;=Wirtschaftlichkeit!$U$8*Eingabemaske!$B$18),$C76,"0"))</f>
        <v>0</v>
      </c>
      <c r="ER76" s="222">
        <v>5183</v>
      </c>
      <c r="ES76" s="224">
        <f t="shared" si="107"/>
        <v>0</v>
      </c>
      <c r="ET76" s="222">
        <v>5183</v>
      </c>
      <c r="EU76" s="226" t="str">
        <f t="shared" si="108"/>
        <v xml:space="preserve"> </v>
      </c>
      <c r="EV76" s="312">
        <v>5183</v>
      </c>
      <c r="EW76" s="286">
        <f>EQ76*Wirtschaftlichkeit!$U$5/Wirtschaftlichkeit!$U$7</f>
        <v>0</v>
      </c>
      <c r="EX76" s="284">
        <f t="shared" si="109"/>
        <v>0</v>
      </c>
      <c r="EZ76" s="222">
        <v>5183</v>
      </c>
      <c r="FA76" s="225" t="str">
        <f>IF($C76&gt;=Wirtschaftlichkeit!$V$8,Wirtschaftlichkeit!$V$8,IF(AND($C76&lt;=Wirtschaftlichkeit!$V$8,$C76&gt;=Wirtschaftlichkeit!$V$8*Eingabemaske!$B$18),$C76,"0"))</f>
        <v>0</v>
      </c>
      <c r="FB76" s="222">
        <v>5183</v>
      </c>
      <c r="FC76" s="224">
        <f t="shared" si="110"/>
        <v>0</v>
      </c>
      <c r="FD76" s="222">
        <v>5183</v>
      </c>
      <c r="FE76" s="226" t="str">
        <f t="shared" si="111"/>
        <v xml:space="preserve"> </v>
      </c>
      <c r="FF76" s="312">
        <v>5183</v>
      </c>
      <c r="FG76" s="286">
        <f>FA76*Wirtschaftlichkeit!$V$5/Wirtschaftlichkeit!$V$7</f>
        <v>0</v>
      </c>
      <c r="FH76" s="284">
        <f t="shared" si="112"/>
        <v>0</v>
      </c>
      <c r="FJ76" s="222">
        <v>5183</v>
      </c>
      <c r="FK76" s="225" t="str">
        <f>IF($C76&gt;=Wirtschaftlichkeit!$W$8,Wirtschaftlichkeit!$W$8,IF(AND($C76&lt;=Wirtschaftlichkeit!$W$8,$C76&gt;=Wirtschaftlichkeit!$W$8*Eingabemaske!$B$18),$C76,"0"))</f>
        <v>0</v>
      </c>
      <c r="FL76" s="222">
        <v>5183</v>
      </c>
      <c r="FM76" s="224">
        <f t="shared" si="113"/>
        <v>0</v>
      </c>
      <c r="FN76" s="222">
        <v>5183</v>
      </c>
      <c r="FO76" s="226" t="str">
        <f t="shared" si="114"/>
        <v xml:space="preserve"> </v>
      </c>
      <c r="FP76" s="312">
        <v>5183</v>
      </c>
      <c r="FQ76" s="286">
        <f>FK76*Wirtschaftlichkeit!$W$5/Wirtschaftlichkeit!$W$7</f>
        <v>0</v>
      </c>
      <c r="FR76" s="284">
        <f t="shared" si="115"/>
        <v>0</v>
      </c>
      <c r="FT76" s="222">
        <v>5183</v>
      </c>
      <c r="FU76" s="225" t="str">
        <f>IF($C76&gt;=Wirtschaftlichkeit!$X$8,Wirtschaftlichkeit!$X$8,IF(AND($C76&lt;=Wirtschaftlichkeit!$X$8,$C76&gt;=Wirtschaftlichkeit!$X$8*Eingabemaske!$B$18),$C76,"0"))</f>
        <v>0</v>
      </c>
      <c r="FV76" s="222">
        <v>5183</v>
      </c>
      <c r="FW76" s="224">
        <f t="shared" si="116"/>
        <v>0</v>
      </c>
      <c r="FX76" s="222">
        <v>5183</v>
      </c>
      <c r="FY76" s="226" t="str">
        <f t="shared" si="117"/>
        <v xml:space="preserve"> </v>
      </c>
      <c r="FZ76" s="312">
        <v>5183</v>
      </c>
      <c r="GA76" s="286">
        <f>FU76*Wirtschaftlichkeit!$X$5/Wirtschaftlichkeit!$X$7</f>
        <v>0</v>
      </c>
      <c r="GB76" s="284">
        <f t="shared" si="118"/>
        <v>0</v>
      </c>
      <c r="GD76" s="222">
        <v>5183</v>
      </c>
      <c r="GE76" s="225" t="str">
        <f>IF($C76&gt;=Wirtschaftlichkeit!$Y$8,Wirtschaftlichkeit!$Y$8,IF(AND($C76&lt;=Wirtschaftlichkeit!$Y$8,$C76&gt;=Wirtschaftlichkeit!$Y$8*Eingabemaske!$B$18),$C76,"0"))</f>
        <v>0</v>
      </c>
      <c r="GF76" s="222">
        <v>5183</v>
      </c>
      <c r="GG76" s="224">
        <f t="shared" si="119"/>
        <v>0</v>
      </c>
      <c r="GH76" s="222">
        <v>5183</v>
      </c>
      <c r="GI76" s="226" t="str">
        <f t="shared" si="120"/>
        <v xml:space="preserve"> </v>
      </c>
      <c r="GJ76" s="312">
        <v>5183</v>
      </c>
      <c r="GK76" s="286">
        <f>GE76*Wirtschaftlichkeit!$Y$5/Wirtschaftlichkeit!$Y$7</f>
        <v>0</v>
      </c>
      <c r="GL76" s="284">
        <f t="shared" si="121"/>
        <v>0</v>
      </c>
      <c r="GN76" s="222">
        <v>5183</v>
      </c>
      <c r="GO76" s="225" t="str">
        <f>IF($C76&gt;=Wirtschaftlichkeit!$Z$8,Wirtschaftlichkeit!$Z$8,IF(AND($C76&lt;=Wirtschaftlichkeit!$Z$8,$C76&gt;=Wirtschaftlichkeit!$Z$8*Eingabemaske!$B$18),$C76,"0"))</f>
        <v>0</v>
      </c>
      <c r="GP76" s="222">
        <v>5183</v>
      </c>
      <c r="GQ76" s="224">
        <f t="shared" si="122"/>
        <v>0</v>
      </c>
      <c r="GR76" s="222">
        <v>5183</v>
      </c>
      <c r="GS76" s="226" t="str">
        <f t="shared" si="123"/>
        <v xml:space="preserve"> </v>
      </c>
      <c r="GT76" s="312">
        <v>5183</v>
      </c>
      <c r="GU76" s="286">
        <f>GO76*Wirtschaftlichkeit!$Z$5/Wirtschaftlichkeit!$Z$7</f>
        <v>0</v>
      </c>
      <c r="GV76" s="284">
        <f t="shared" si="124"/>
        <v>0</v>
      </c>
      <c r="GW76" s="266"/>
      <c r="GX76" s="258">
        <v>5183</v>
      </c>
      <c r="GY76" s="270" t="str">
        <f>IF(Berechnung_Diagramme!$C$28=Berechnungen_Lastgang!$F$2,Berechnungen_Lastgang!G76,IF(Berechnung_Diagramme!$C$28=Berechnungen_Lastgang!$P$2,Berechnungen_Lastgang!Q76,IF(Berechnung_Diagramme!$C$28=Berechnungen_Lastgang!$Z$2,Berechnungen_Lastgang!AA76,IF(Berechnung_Diagramme!$C$28=Berechnungen_Lastgang!$AJ$2,Berechnungen_Lastgang!AK76,IF(Berechnung_Diagramme!$C$28=Berechnungen_Lastgang!$AT$2,Berechnungen_Lastgang!AU76,IF(Berechnung_Diagramme!$C$28=Berechnungen_Lastgang!$BD$2,Berechnungen_Lastgang!BE76,IF(Berechnung_Diagramme!$C$28=Berechnungen_Lastgang!$BN$2,Berechnungen_Lastgang!BO76,IF(Berechnung_Diagramme!$C$28=Berechnungen_Lastgang!$BX$2,Berechnungen_Lastgang!BY76,IF(Berechnung_Diagramme!$C$28=Berechnungen_Lastgang!$CH$2,Berechnungen_Lastgang!CI76,IF(Berechnung_Diagramme!$C$28=Berechnungen_Lastgang!$CR$2,Berechnungen_Lastgang!CS76,IF(Berechnung_Diagramme!$C$28=Berechnungen_Lastgang!$DB$2,Berechnungen_Lastgang!DC76,IF(Berechnung_Diagramme!$C$28=Berechnungen_Lastgang!$DL$2,Berechnungen_Lastgang!DM76,IF(Berechnung_Diagramme!$C$28=Berechnungen_Lastgang!$DV$2,Berechnungen_Lastgang!DW76,IF(Berechnung_Diagramme!$C$28=Berechnungen_Lastgang!$EF$2,Berechnungen_Lastgang!EG76,IF(Berechnung_Diagramme!$C$28=Berechnungen_Lastgang!$EP$2,Berechnungen_Lastgang!EQ76,IF(Berechnung_Diagramme!$C$28=Berechnungen_Lastgang!$EZ$2,Berechnungen_Lastgang!FA76,IF(Berechnung_Diagramme!$C$28=Berechnungen_Lastgang!$FJ$2,Berechnungen_Lastgang!FK76,IF(Berechnung_Diagramme!$C$28=Berechnungen_Lastgang!$FT$2,Berechnungen_Lastgang!FU76,IF(Berechnung_Diagramme!$C$28=Berechnungen_Lastgang!$GD$2,Berechnungen_Lastgang!GE76,IF(Berechnung_Diagramme!$C$28=Berechnungen_Lastgang!$GN$2,Berechnungen_Lastgang!GO76,""))))))))))))))))))))</f>
        <v>0</v>
      </c>
    </row>
    <row r="77" spans="2:207" x14ac:dyDescent="0.25">
      <c r="B77" s="64">
        <v>5256</v>
      </c>
      <c r="C77" s="67">
        <f>C76+((C80-C76)/(B80-B76))*(B77-B76)</f>
        <v>7.5016799999999986</v>
      </c>
      <c r="D77" s="66">
        <f t="shared" si="64"/>
        <v>545.12932499999988</v>
      </c>
      <c r="F77" s="64">
        <v>5256</v>
      </c>
      <c r="G77" s="225">
        <f>IF($C77&gt;=Wirtschaftlichkeit!$G$8,Wirtschaftlichkeit!$G$8,IF(AND($C77&lt;=Wirtschaftlichkeit!$G$8,$C77&gt;=Wirtschaftlichkeit!$G$8*Eingabemaske!$B$18),$C77,"0"))</f>
        <v>2.8333333333333335</v>
      </c>
      <c r="H77" s="64">
        <v>5256</v>
      </c>
      <c r="I77" s="66">
        <f t="shared" si="65"/>
        <v>206.83333333333334</v>
      </c>
      <c r="J77" s="64">
        <v>5256</v>
      </c>
      <c r="K77" s="71">
        <f t="shared" si="66"/>
        <v>2.8333333333333335</v>
      </c>
      <c r="L77" s="312">
        <v>5256</v>
      </c>
      <c r="M77" s="286">
        <f>G77*Wirtschaftlichkeit!$G$5/Wirtschaftlichkeit!$G$7</f>
        <v>1</v>
      </c>
      <c r="N77" s="284">
        <f t="shared" si="67"/>
        <v>73</v>
      </c>
      <c r="P77" s="222">
        <v>5256</v>
      </c>
      <c r="Q77" s="225">
        <f>IF($C77&gt;=Wirtschaftlichkeit!$H$8,Wirtschaftlichkeit!$H$8,IF(AND($C77&lt;=Wirtschaftlichkeit!$H$8,$C77&gt;=Wirtschaftlichkeit!$H$8*Eingabemaske!$B$18),$C77,"0"))</f>
        <v>5.5876288659793811</v>
      </c>
      <c r="R77" s="222">
        <v>5256</v>
      </c>
      <c r="S77" s="224">
        <f t="shared" si="68"/>
        <v>407.89690721649481</v>
      </c>
      <c r="T77" s="222">
        <v>5256</v>
      </c>
      <c r="U77" s="226">
        <f t="shared" si="69"/>
        <v>5.5876288659793811</v>
      </c>
      <c r="V77" s="312">
        <v>5256</v>
      </c>
      <c r="W77" s="286">
        <f>Q77*Wirtschaftlichkeit!$H$5/Wirtschaftlichkeit!$H$7</f>
        <v>2</v>
      </c>
      <c r="X77" s="284">
        <f t="shared" si="70"/>
        <v>146</v>
      </c>
      <c r="Z77" s="222">
        <v>5256</v>
      </c>
      <c r="AA77" s="225">
        <f>IF($C77&gt;=Wirtschaftlichkeit!$I$8,Wirtschaftlichkeit!$I$8,IF(AND($C77&lt;=Wirtschaftlichkeit!$I$8,$C77&gt;=Wirtschaftlichkeit!$I$8*Eingabemaske!$B$18),$C77,"0"))</f>
        <v>7.5016799999999986</v>
      </c>
      <c r="AB77" s="222">
        <v>5256</v>
      </c>
      <c r="AC77" s="224">
        <f t="shared" si="71"/>
        <v>545.12932499999988</v>
      </c>
      <c r="AD77" s="222">
        <v>5256</v>
      </c>
      <c r="AE77" s="226">
        <f t="shared" si="72"/>
        <v>7.5016799999999986</v>
      </c>
      <c r="AF77" s="312">
        <v>5256</v>
      </c>
      <c r="AG77" s="286">
        <f>AA77*Wirtschaftlichkeit!$I$5/Wirtschaftlichkeit!$I$7</f>
        <v>2.7288215852746012</v>
      </c>
      <c r="AH77" s="284">
        <f t="shared" si="73"/>
        <v>198.29700398126462</v>
      </c>
      <c r="AJ77" s="222">
        <v>5256</v>
      </c>
      <c r="AK77" s="225">
        <f>IF($C77&gt;=Wirtschaftlichkeit!$J$8,Wirtschaftlichkeit!$J$8,IF(AND($C77&lt;=Wirtschaftlichkeit!$J$8,$C77&gt;=Wirtschaftlichkeit!$J$8*Eingabemaske!$B$18),$C77,"0"))</f>
        <v>7.5016799999999986</v>
      </c>
      <c r="AL77" s="222">
        <v>5256</v>
      </c>
      <c r="AM77" s="224">
        <f t="shared" si="74"/>
        <v>545.12932499999988</v>
      </c>
      <c r="AN77" s="222">
        <v>5256</v>
      </c>
      <c r="AO77" s="226">
        <f t="shared" si="75"/>
        <v>7.5016799999999986</v>
      </c>
      <c r="AP77" s="312">
        <v>5256</v>
      </c>
      <c r="AQ77" s="286">
        <f>AK77*Wirtschaftlichkeit!$J$5/Wirtschaftlichkeit!$J$7</f>
        <v>2.8476248847861791</v>
      </c>
      <c r="AR77" s="284">
        <f t="shared" si="76"/>
        <v>206.93015848405858</v>
      </c>
      <c r="AT77" s="222">
        <v>5256</v>
      </c>
      <c r="AU77" s="225">
        <f>IF($C77&gt;=Wirtschaftlichkeit!$K$8,Wirtschaftlichkeit!$K$8,IF(AND($C77&lt;=Wirtschaftlichkeit!$K$8,$C77&gt;=Wirtschaftlichkeit!$K$8*Eingabemaske!$B$18),$C77,"0"))</f>
        <v>7.5016799999999986</v>
      </c>
      <c r="AV77" s="222">
        <v>5256</v>
      </c>
      <c r="AW77" s="224">
        <f t="shared" si="77"/>
        <v>545.12932499999988</v>
      </c>
      <c r="AX77" s="222">
        <v>5256</v>
      </c>
      <c r="AY77" s="226">
        <f t="shared" si="78"/>
        <v>7.5016799999999986</v>
      </c>
      <c r="AZ77" s="312">
        <v>5256</v>
      </c>
      <c r="BA77" s="286">
        <f>AU77*Wirtschaftlichkeit!$K$5/Wirtschaftlichkeit!$K$7</f>
        <v>2.9443473034477381</v>
      </c>
      <c r="BB77" s="284">
        <f t="shared" si="79"/>
        <v>213.95874765306382</v>
      </c>
      <c r="BD77" s="222">
        <v>5256</v>
      </c>
      <c r="BE77" s="225">
        <f>IF($C77&gt;=Wirtschaftlichkeit!$L$8,Wirtschaftlichkeit!$L$8,IF(AND($C77&lt;=Wirtschaftlichkeit!$L$8,$C77&gt;=Wirtschaftlichkeit!$L$8*Eingabemaske!$B$18),$C77,"0"))</f>
        <v>7.5016799999999986</v>
      </c>
      <c r="BF77" s="222">
        <v>5256</v>
      </c>
      <c r="BG77" s="224">
        <f t="shared" si="80"/>
        <v>273.81131999999997</v>
      </c>
      <c r="BH77" s="222">
        <v>5256</v>
      </c>
      <c r="BI77" s="226">
        <f t="shared" si="81"/>
        <v>7.5016799999999986</v>
      </c>
      <c r="BJ77" s="312">
        <v>5256</v>
      </c>
      <c r="BK77" s="286">
        <f>BE77*Wirtschaftlichkeit!$L$5/Wirtschaftlichkeit!$L$7</f>
        <v>3.0265203182444074</v>
      </c>
      <c r="BL77" s="284">
        <f t="shared" si="82"/>
        <v>110.46799161592087</v>
      </c>
      <c r="BN77" s="222">
        <v>5256</v>
      </c>
      <c r="BO77" s="225" t="str">
        <f>IF($C77&gt;=Wirtschaftlichkeit!$M$8,Wirtschaftlichkeit!$M$8,IF(AND($C77&lt;=Wirtschaftlichkeit!$M$8,$C77&gt;=Wirtschaftlichkeit!$M$8*Eingabemaske!$B$18),$C77,"0"))</f>
        <v>0</v>
      </c>
      <c r="BP77" s="222">
        <v>5256</v>
      </c>
      <c r="BQ77" s="224">
        <f t="shared" si="83"/>
        <v>0</v>
      </c>
      <c r="BR77" s="222">
        <v>5256</v>
      </c>
      <c r="BS77" s="226" t="str">
        <f t="shared" si="84"/>
        <v xml:space="preserve"> </v>
      </c>
      <c r="BT77" s="312">
        <v>5256</v>
      </c>
      <c r="BU77" s="286">
        <f>BO77*Wirtschaftlichkeit!$M$5/Wirtschaftlichkeit!$M$7</f>
        <v>0</v>
      </c>
      <c r="BV77" s="284">
        <f t="shared" si="85"/>
        <v>0</v>
      </c>
      <c r="BX77" s="222">
        <v>5256</v>
      </c>
      <c r="BY77" s="225" t="str">
        <f>IF($C77&gt;=Wirtschaftlichkeit!$N$8,Wirtschaftlichkeit!$N$8,IF(AND($C77&lt;=Wirtschaftlichkeit!$N$8,$C77&gt;=Wirtschaftlichkeit!$N$8*Eingabemaske!$B$18),$C77,"0"))</f>
        <v>0</v>
      </c>
      <c r="BZ77" s="222">
        <v>5256</v>
      </c>
      <c r="CA77" s="224">
        <f t="shared" si="86"/>
        <v>0</v>
      </c>
      <c r="CB77" s="222">
        <v>5256</v>
      </c>
      <c r="CC77" s="226" t="str">
        <f t="shared" si="87"/>
        <v xml:space="preserve"> </v>
      </c>
      <c r="CD77" s="312">
        <v>5256</v>
      </c>
      <c r="CE77" s="286">
        <f>BY77*Wirtschaftlichkeit!$N$5/Wirtschaftlichkeit!$N$7</f>
        <v>0</v>
      </c>
      <c r="CF77" s="284">
        <f t="shared" si="88"/>
        <v>0</v>
      </c>
      <c r="CH77" s="222">
        <v>5256</v>
      </c>
      <c r="CI77" s="225" t="str">
        <f>IF($C77&gt;=Wirtschaftlichkeit!$O$8,Wirtschaftlichkeit!$O$8,IF(AND($C77&lt;=Wirtschaftlichkeit!$O$8,$C77&gt;=Wirtschaftlichkeit!$O$8*Eingabemaske!$B$18),$C77,"0"))</f>
        <v>0</v>
      </c>
      <c r="CJ77" s="222">
        <v>5256</v>
      </c>
      <c r="CK77" s="224">
        <f t="shared" si="89"/>
        <v>0</v>
      </c>
      <c r="CL77" s="222">
        <v>5256</v>
      </c>
      <c r="CM77" s="226" t="str">
        <f t="shared" si="90"/>
        <v xml:space="preserve"> </v>
      </c>
      <c r="CN77" s="312">
        <v>5256</v>
      </c>
      <c r="CO77" s="286">
        <f>CI77*Wirtschaftlichkeit!$O$5/Wirtschaftlichkeit!$O$7</f>
        <v>0</v>
      </c>
      <c r="CP77" s="284">
        <f t="shared" si="91"/>
        <v>0</v>
      </c>
      <c r="CR77" s="222">
        <v>5256</v>
      </c>
      <c r="CS77" s="225" t="str">
        <f>IF($C77&gt;=Wirtschaftlichkeit!$P$8,Wirtschaftlichkeit!$P$8,IF(AND($C77&lt;=Wirtschaftlichkeit!$P$8,$C77&gt;=Wirtschaftlichkeit!$P$8*Eingabemaske!$B$18),$C77,"0"))</f>
        <v>0</v>
      </c>
      <c r="CT77" s="222">
        <v>5256</v>
      </c>
      <c r="CU77" s="224">
        <f t="shared" si="92"/>
        <v>0</v>
      </c>
      <c r="CV77" s="222">
        <v>5256</v>
      </c>
      <c r="CW77" s="226" t="str">
        <f t="shared" si="93"/>
        <v xml:space="preserve"> </v>
      </c>
      <c r="CX77" s="312">
        <v>5256</v>
      </c>
      <c r="CY77" s="286">
        <f>CS77*Wirtschaftlichkeit!$P$5/Wirtschaftlichkeit!$P$7</f>
        <v>0</v>
      </c>
      <c r="CZ77" s="284">
        <f t="shared" si="94"/>
        <v>0</v>
      </c>
      <c r="DB77" s="222">
        <v>5256</v>
      </c>
      <c r="DC77" s="225" t="str">
        <f>IF($C77&gt;=Wirtschaftlichkeit!$Q$8,Wirtschaftlichkeit!$Q$8,IF(AND($C77&lt;=Wirtschaftlichkeit!$Q$8,$C77&gt;=Wirtschaftlichkeit!$Q$8*Eingabemaske!$B$18),$C77,"0"))</f>
        <v>0</v>
      </c>
      <c r="DD77" s="222">
        <v>5256</v>
      </c>
      <c r="DE77" s="224">
        <f t="shared" si="95"/>
        <v>0</v>
      </c>
      <c r="DF77" s="222">
        <v>5256</v>
      </c>
      <c r="DG77" s="226" t="str">
        <f t="shared" si="96"/>
        <v xml:space="preserve"> </v>
      </c>
      <c r="DH77" s="312">
        <v>5256</v>
      </c>
      <c r="DI77" s="286">
        <f>DC77*Wirtschaftlichkeit!$Q$5/Wirtschaftlichkeit!$Q$7</f>
        <v>0</v>
      </c>
      <c r="DJ77" s="284">
        <f t="shared" si="97"/>
        <v>0</v>
      </c>
      <c r="DL77" s="222">
        <v>5256</v>
      </c>
      <c r="DM77" s="225" t="str">
        <f>IF($C77&gt;=Wirtschaftlichkeit!$R$8,Wirtschaftlichkeit!$R$8,IF(AND($C77&lt;=Wirtschaftlichkeit!$R$8,$C77&gt;=Wirtschaftlichkeit!$R$8*Eingabemaske!$B$18),$C77,"0"))</f>
        <v>0</v>
      </c>
      <c r="DN77" s="222">
        <v>5256</v>
      </c>
      <c r="DO77" s="224">
        <f t="shared" si="98"/>
        <v>0</v>
      </c>
      <c r="DP77" s="222">
        <v>5256</v>
      </c>
      <c r="DQ77" s="226" t="str">
        <f t="shared" si="99"/>
        <v xml:space="preserve"> </v>
      </c>
      <c r="DR77" s="312">
        <v>5256</v>
      </c>
      <c r="DS77" s="286">
        <f>DM77*Wirtschaftlichkeit!$R$5/Wirtschaftlichkeit!$R$7</f>
        <v>0</v>
      </c>
      <c r="DT77" s="284">
        <f t="shared" si="100"/>
        <v>0</v>
      </c>
      <c r="DV77" s="222">
        <v>5256</v>
      </c>
      <c r="DW77" s="225" t="str">
        <f>IF($C77&gt;=Wirtschaftlichkeit!$S$8,Wirtschaftlichkeit!$S$8,IF(AND($C77&lt;=Wirtschaftlichkeit!$S$8,$C77&gt;=Wirtschaftlichkeit!$S$8*Eingabemaske!$B$18),$C77,"0"))</f>
        <v>0</v>
      </c>
      <c r="DX77" s="222">
        <v>5256</v>
      </c>
      <c r="DY77" s="224">
        <f t="shared" si="101"/>
        <v>0</v>
      </c>
      <c r="DZ77" s="222">
        <v>5256</v>
      </c>
      <c r="EA77" s="226" t="str">
        <f t="shared" si="102"/>
        <v xml:space="preserve"> </v>
      </c>
      <c r="EB77" s="312">
        <v>5256</v>
      </c>
      <c r="EC77" s="286">
        <f>DW77*Wirtschaftlichkeit!$S$5/Wirtschaftlichkeit!$S$7</f>
        <v>0</v>
      </c>
      <c r="ED77" s="284">
        <f t="shared" si="103"/>
        <v>0</v>
      </c>
      <c r="EF77" s="222">
        <v>5256</v>
      </c>
      <c r="EG77" s="225" t="str">
        <f>IF($C77&gt;=Wirtschaftlichkeit!$T$8,Wirtschaftlichkeit!$T$8,IF(AND($C77&lt;=Wirtschaftlichkeit!$T$8,$C77&gt;=Wirtschaftlichkeit!$T$8*Eingabemaske!$B$18),$C77,"0"))</f>
        <v>0</v>
      </c>
      <c r="EH77" s="222">
        <v>5256</v>
      </c>
      <c r="EI77" s="224">
        <f t="shared" si="104"/>
        <v>0</v>
      </c>
      <c r="EJ77" s="222">
        <v>5256</v>
      </c>
      <c r="EK77" s="226" t="str">
        <f t="shared" si="105"/>
        <v xml:space="preserve"> </v>
      </c>
      <c r="EL77" s="312">
        <v>5256</v>
      </c>
      <c r="EM77" s="286">
        <f>EG77*Wirtschaftlichkeit!$T$5/Wirtschaftlichkeit!$T$7</f>
        <v>0</v>
      </c>
      <c r="EN77" s="284">
        <f t="shared" si="106"/>
        <v>0</v>
      </c>
      <c r="EP77" s="222">
        <v>5256</v>
      </c>
      <c r="EQ77" s="225" t="str">
        <f>IF($C77&gt;=Wirtschaftlichkeit!$U$8,Wirtschaftlichkeit!$U$8,IF(AND($C77&lt;=Wirtschaftlichkeit!$U$8,$C77&gt;=Wirtschaftlichkeit!$U$8*Eingabemaske!$B$18),$C77,"0"))</f>
        <v>0</v>
      </c>
      <c r="ER77" s="222">
        <v>5256</v>
      </c>
      <c r="ES77" s="224">
        <f t="shared" si="107"/>
        <v>0</v>
      </c>
      <c r="ET77" s="222">
        <v>5256</v>
      </c>
      <c r="EU77" s="226" t="str">
        <f t="shared" si="108"/>
        <v xml:space="preserve"> </v>
      </c>
      <c r="EV77" s="312">
        <v>5256</v>
      </c>
      <c r="EW77" s="286">
        <f>EQ77*Wirtschaftlichkeit!$U$5/Wirtschaftlichkeit!$U$7</f>
        <v>0</v>
      </c>
      <c r="EX77" s="284">
        <f t="shared" si="109"/>
        <v>0</v>
      </c>
      <c r="EZ77" s="222">
        <v>5256</v>
      </c>
      <c r="FA77" s="225" t="str">
        <f>IF($C77&gt;=Wirtschaftlichkeit!$V$8,Wirtschaftlichkeit!$V$8,IF(AND($C77&lt;=Wirtschaftlichkeit!$V$8,$C77&gt;=Wirtschaftlichkeit!$V$8*Eingabemaske!$B$18),$C77,"0"))</f>
        <v>0</v>
      </c>
      <c r="FB77" s="222">
        <v>5256</v>
      </c>
      <c r="FC77" s="224">
        <f t="shared" si="110"/>
        <v>0</v>
      </c>
      <c r="FD77" s="222">
        <v>5256</v>
      </c>
      <c r="FE77" s="226" t="str">
        <f t="shared" si="111"/>
        <v xml:space="preserve"> </v>
      </c>
      <c r="FF77" s="312">
        <v>5256</v>
      </c>
      <c r="FG77" s="286">
        <f>FA77*Wirtschaftlichkeit!$V$5/Wirtschaftlichkeit!$V$7</f>
        <v>0</v>
      </c>
      <c r="FH77" s="284">
        <f t="shared" si="112"/>
        <v>0</v>
      </c>
      <c r="FJ77" s="222">
        <v>5256</v>
      </c>
      <c r="FK77" s="225" t="str">
        <f>IF($C77&gt;=Wirtschaftlichkeit!$W$8,Wirtschaftlichkeit!$W$8,IF(AND($C77&lt;=Wirtschaftlichkeit!$W$8,$C77&gt;=Wirtschaftlichkeit!$W$8*Eingabemaske!$B$18),$C77,"0"))</f>
        <v>0</v>
      </c>
      <c r="FL77" s="222">
        <v>5256</v>
      </c>
      <c r="FM77" s="224">
        <f t="shared" si="113"/>
        <v>0</v>
      </c>
      <c r="FN77" s="222">
        <v>5256</v>
      </c>
      <c r="FO77" s="226" t="str">
        <f t="shared" si="114"/>
        <v xml:space="preserve"> </v>
      </c>
      <c r="FP77" s="312">
        <v>5256</v>
      </c>
      <c r="FQ77" s="286">
        <f>FK77*Wirtschaftlichkeit!$W$5/Wirtschaftlichkeit!$W$7</f>
        <v>0</v>
      </c>
      <c r="FR77" s="284">
        <f t="shared" si="115"/>
        <v>0</v>
      </c>
      <c r="FT77" s="222">
        <v>5256</v>
      </c>
      <c r="FU77" s="225" t="str">
        <f>IF($C77&gt;=Wirtschaftlichkeit!$X$8,Wirtschaftlichkeit!$X$8,IF(AND($C77&lt;=Wirtschaftlichkeit!$X$8,$C77&gt;=Wirtschaftlichkeit!$X$8*Eingabemaske!$B$18),$C77,"0"))</f>
        <v>0</v>
      </c>
      <c r="FV77" s="222">
        <v>5256</v>
      </c>
      <c r="FW77" s="224">
        <f t="shared" si="116"/>
        <v>0</v>
      </c>
      <c r="FX77" s="222">
        <v>5256</v>
      </c>
      <c r="FY77" s="226" t="str">
        <f t="shared" si="117"/>
        <v xml:space="preserve"> </v>
      </c>
      <c r="FZ77" s="312">
        <v>5256</v>
      </c>
      <c r="GA77" s="286">
        <f>FU77*Wirtschaftlichkeit!$X$5/Wirtschaftlichkeit!$X$7</f>
        <v>0</v>
      </c>
      <c r="GB77" s="284">
        <f t="shared" si="118"/>
        <v>0</v>
      </c>
      <c r="GD77" s="222">
        <v>5256</v>
      </c>
      <c r="GE77" s="225" t="str">
        <f>IF($C77&gt;=Wirtschaftlichkeit!$Y$8,Wirtschaftlichkeit!$Y$8,IF(AND($C77&lt;=Wirtschaftlichkeit!$Y$8,$C77&gt;=Wirtschaftlichkeit!$Y$8*Eingabemaske!$B$18),$C77,"0"))</f>
        <v>0</v>
      </c>
      <c r="GF77" s="222">
        <v>5256</v>
      </c>
      <c r="GG77" s="224">
        <f t="shared" si="119"/>
        <v>0</v>
      </c>
      <c r="GH77" s="222">
        <v>5256</v>
      </c>
      <c r="GI77" s="226" t="str">
        <f t="shared" si="120"/>
        <v xml:space="preserve"> </v>
      </c>
      <c r="GJ77" s="312">
        <v>5256</v>
      </c>
      <c r="GK77" s="286">
        <f>GE77*Wirtschaftlichkeit!$Y$5/Wirtschaftlichkeit!$Y$7</f>
        <v>0</v>
      </c>
      <c r="GL77" s="284">
        <f t="shared" si="121"/>
        <v>0</v>
      </c>
      <c r="GN77" s="222">
        <v>5256</v>
      </c>
      <c r="GO77" s="225" t="str">
        <f>IF($C77&gt;=Wirtschaftlichkeit!$Z$8,Wirtschaftlichkeit!$Z$8,IF(AND($C77&lt;=Wirtschaftlichkeit!$Z$8,$C77&gt;=Wirtschaftlichkeit!$Z$8*Eingabemaske!$B$18),$C77,"0"))</f>
        <v>0</v>
      </c>
      <c r="GP77" s="222">
        <v>5256</v>
      </c>
      <c r="GQ77" s="224">
        <f t="shared" si="122"/>
        <v>0</v>
      </c>
      <c r="GR77" s="222">
        <v>5256</v>
      </c>
      <c r="GS77" s="226" t="str">
        <f t="shared" si="123"/>
        <v xml:space="preserve"> </v>
      </c>
      <c r="GT77" s="312">
        <v>5256</v>
      </c>
      <c r="GU77" s="286">
        <f>GO77*Wirtschaftlichkeit!$Z$5/Wirtschaftlichkeit!$Z$7</f>
        <v>0</v>
      </c>
      <c r="GV77" s="284">
        <f t="shared" si="124"/>
        <v>0</v>
      </c>
      <c r="GW77" s="266"/>
      <c r="GX77" s="258">
        <v>5256</v>
      </c>
      <c r="GY77" s="270" t="str">
        <f>IF(Berechnung_Diagramme!$C$28=Berechnungen_Lastgang!$F$2,Berechnungen_Lastgang!G77,IF(Berechnung_Diagramme!$C$28=Berechnungen_Lastgang!$P$2,Berechnungen_Lastgang!Q77,IF(Berechnung_Diagramme!$C$28=Berechnungen_Lastgang!$Z$2,Berechnungen_Lastgang!AA77,IF(Berechnung_Diagramme!$C$28=Berechnungen_Lastgang!$AJ$2,Berechnungen_Lastgang!AK77,IF(Berechnung_Diagramme!$C$28=Berechnungen_Lastgang!$AT$2,Berechnungen_Lastgang!AU77,IF(Berechnung_Diagramme!$C$28=Berechnungen_Lastgang!$BD$2,Berechnungen_Lastgang!BE77,IF(Berechnung_Diagramme!$C$28=Berechnungen_Lastgang!$BN$2,Berechnungen_Lastgang!BO77,IF(Berechnung_Diagramme!$C$28=Berechnungen_Lastgang!$BX$2,Berechnungen_Lastgang!BY77,IF(Berechnung_Diagramme!$C$28=Berechnungen_Lastgang!$CH$2,Berechnungen_Lastgang!CI77,IF(Berechnung_Diagramme!$C$28=Berechnungen_Lastgang!$CR$2,Berechnungen_Lastgang!CS77,IF(Berechnung_Diagramme!$C$28=Berechnungen_Lastgang!$DB$2,Berechnungen_Lastgang!DC77,IF(Berechnung_Diagramme!$C$28=Berechnungen_Lastgang!$DL$2,Berechnungen_Lastgang!DM77,IF(Berechnung_Diagramme!$C$28=Berechnungen_Lastgang!$DV$2,Berechnungen_Lastgang!DW77,IF(Berechnung_Diagramme!$C$28=Berechnungen_Lastgang!$EF$2,Berechnungen_Lastgang!EG77,IF(Berechnung_Diagramme!$C$28=Berechnungen_Lastgang!$EP$2,Berechnungen_Lastgang!EQ77,IF(Berechnung_Diagramme!$C$28=Berechnungen_Lastgang!$EZ$2,Berechnungen_Lastgang!FA77,IF(Berechnung_Diagramme!$C$28=Berechnungen_Lastgang!$FJ$2,Berechnungen_Lastgang!FK77,IF(Berechnung_Diagramme!$C$28=Berechnungen_Lastgang!$FT$2,Berechnungen_Lastgang!FU77,IF(Berechnung_Diagramme!$C$28=Berechnungen_Lastgang!$GD$2,Berechnungen_Lastgang!GE77,IF(Berechnung_Diagramme!$C$28=Berechnungen_Lastgang!$GN$2,Berechnungen_Lastgang!GO77,""))))))))))))))))))))</f>
        <v>0</v>
      </c>
    </row>
    <row r="78" spans="2:207" x14ac:dyDescent="0.25">
      <c r="B78" s="64">
        <v>5329</v>
      </c>
      <c r="C78" s="67">
        <f>C77+((C80-C77)/(B80-B77))*(B78-B77)</f>
        <v>7.4333699999999991</v>
      </c>
      <c r="D78" s="66">
        <f t="shared" si="64"/>
        <v>540.142695</v>
      </c>
      <c r="F78" s="64">
        <v>5329</v>
      </c>
      <c r="G78" s="225">
        <f>IF($C78&gt;=Wirtschaftlichkeit!$G$8,Wirtschaftlichkeit!$G$8,IF(AND($C78&lt;=Wirtschaftlichkeit!$G$8,$C78&gt;=Wirtschaftlichkeit!$G$8*Eingabemaske!$B$18),$C78,"0"))</f>
        <v>2.8333333333333335</v>
      </c>
      <c r="H78" s="64">
        <v>5329</v>
      </c>
      <c r="I78" s="66">
        <f t="shared" si="65"/>
        <v>206.83333333333334</v>
      </c>
      <c r="J78" s="64">
        <v>5329</v>
      </c>
      <c r="K78" s="71">
        <f t="shared" si="66"/>
        <v>2.8333333333333335</v>
      </c>
      <c r="L78" s="312">
        <v>5329</v>
      </c>
      <c r="M78" s="286">
        <f>G78*Wirtschaftlichkeit!$G$5/Wirtschaftlichkeit!$G$7</f>
        <v>1</v>
      </c>
      <c r="N78" s="284">
        <f t="shared" si="67"/>
        <v>73</v>
      </c>
      <c r="P78" s="222">
        <v>5329</v>
      </c>
      <c r="Q78" s="225">
        <f>IF($C78&gt;=Wirtschaftlichkeit!$H$8,Wirtschaftlichkeit!$H$8,IF(AND($C78&lt;=Wirtschaftlichkeit!$H$8,$C78&gt;=Wirtschaftlichkeit!$H$8*Eingabemaske!$B$18),$C78,"0"))</f>
        <v>5.5876288659793811</v>
      </c>
      <c r="R78" s="222">
        <v>5329</v>
      </c>
      <c r="S78" s="224">
        <f t="shared" si="68"/>
        <v>407.89690721649481</v>
      </c>
      <c r="T78" s="222">
        <v>5329</v>
      </c>
      <c r="U78" s="226">
        <f t="shared" si="69"/>
        <v>5.5876288659793811</v>
      </c>
      <c r="V78" s="312">
        <v>5329</v>
      </c>
      <c r="W78" s="286">
        <f>Q78*Wirtschaftlichkeit!$H$5/Wirtschaftlichkeit!$H$7</f>
        <v>2</v>
      </c>
      <c r="X78" s="284">
        <f t="shared" si="70"/>
        <v>146</v>
      </c>
      <c r="Z78" s="222">
        <v>5329</v>
      </c>
      <c r="AA78" s="225">
        <f>IF($C78&gt;=Wirtschaftlichkeit!$I$8,Wirtschaftlichkeit!$I$8,IF(AND($C78&lt;=Wirtschaftlichkeit!$I$8,$C78&gt;=Wirtschaftlichkeit!$I$8*Eingabemaske!$B$18),$C78,"0"))</f>
        <v>7.4333699999999991</v>
      </c>
      <c r="AB78" s="222">
        <v>5329</v>
      </c>
      <c r="AC78" s="224">
        <f t="shared" si="71"/>
        <v>540.142695</v>
      </c>
      <c r="AD78" s="222">
        <v>5329</v>
      </c>
      <c r="AE78" s="226">
        <f t="shared" si="72"/>
        <v>7.4333699999999991</v>
      </c>
      <c r="AF78" s="312">
        <v>5329</v>
      </c>
      <c r="AG78" s="286">
        <f>AA78*Wirtschaftlichkeit!$I$5/Wirtschaftlichkeit!$I$7</f>
        <v>2.7039730443490875</v>
      </c>
      <c r="AH78" s="284">
        <f t="shared" si="73"/>
        <v>196.48306049370217</v>
      </c>
      <c r="AJ78" s="222">
        <v>5329</v>
      </c>
      <c r="AK78" s="225">
        <f>IF($C78&gt;=Wirtschaftlichkeit!$J$8,Wirtschaftlichkeit!$J$8,IF(AND($C78&lt;=Wirtschaftlichkeit!$J$8,$C78&gt;=Wirtschaftlichkeit!$J$8*Eingabemaske!$B$18),$C78,"0"))</f>
        <v>7.4333699999999991</v>
      </c>
      <c r="AL78" s="222">
        <v>5329</v>
      </c>
      <c r="AM78" s="224">
        <f t="shared" si="74"/>
        <v>540.142695</v>
      </c>
      <c r="AN78" s="222">
        <v>5329</v>
      </c>
      <c r="AO78" s="226">
        <f t="shared" si="75"/>
        <v>7.4333699999999991</v>
      </c>
      <c r="AP78" s="312">
        <v>5329</v>
      </c>
      <c r="AQ78" s="286">
        <f>AK78*Wirtschaftlichkeit!$J$5/Wirtschaftlichkeit!$J$7</f>
        <v>2.8216945257359742</v>
      </c>
      <c r="AR78" s="284">
        <f t="shared" si="76"/>
        <v>205.03724227339362</v>
      </c>
      <c r="AT78" s="222">
        <v>5329</v>
      </c>
      <c r="AU78" s="225">
        <f>IF($C78&gt;=Wirtschaftlichkeit!$K$8,Wirtschaftlichkeit!$K$8,IF(AND($C78&lt;=Wirtschaftlichkeit!$K$8,$C78&gt;=Wirtschaftlichkeit!$K$8*Eingabemaske!$B$18),$C78,"0"))</f>
        <v>7.4333699999999991</v>
      </c>
      <c r="AV78" s="222">
        <v>5329</v>
      </c>
      <c r="AW78" s="224">
        <f t="shared" si="77"/>
        <v>540.142695</v>
      </c>
      <c r="AX78" s="222">
        <v>5329</v>
      </c>
      <c r="AY78" s="226">
        <f t="shared" si="78"/>
        <v>7.4333699999999991</v>
      </c>
      <c r="AZ78" s="312">
        <v>5329</v>
      </c>
      <c r="BA78" s="286">
        <f>AU78*Wirtschaftlichkeit!$K$5/Wirtschaftlichkeit!$K$7</f>
        <v>2.9175361938964759</v>
      </c>
      <c r="BB78" s="284">
        <f t="shared" si="79"/>
        <v>212.00153665582167</v>
      </c>
      <c r="BD78" s="222">
        <v>5329</v>
      </c>
      <c r="BE78" s="225" t="str">
        <f>IF($C78&gt;=Wirtschaftlichkeit!$L$8,Wirtschaftlichkeit!$L$8,IF(AND($C78&lt;=Wirtschaftlichkeit!$L$8,$C78&gt;=Wirtschaftlichkeit!$L$8*Eingabemaske!$B$18),$C78,"0"))</f>
        <v>0</v>
      </c>
      <c r="BF78" s="222">
        <v>5329</v>
      </c>
      <c r="BG78" s="224">
        <f t="shared" si="80"/>
        <v>0</v>
      </c>
      <c r="BH78" s="222">
        <v>5329</v>
      </c>
      <c r="BI78" s="226" t="str">
        <f t="shared" si="81"/>
        <v xml:space="preserve"> </v>
      </c>
      <c r="BJ78" s="312">
        <v>5329</v>
      </c>
      <c r="BK78" s="286">
        <f>BE78*Wirtschaftlichkeit!$L$5/Wirtschaftlichkeit!$L$7</f>
        <v>0</v>
      </c>
      <c r="BL78" s="284">
        <f t="shared" si="82"/>
        <v>0</v>
      </c>
      <c r="BN78" s="222">
        <v>5329</v>
      </c>
      <c r="BO78" s="225" t="str">
        <f>IF($C78&gt;=Wirtschaftlichkeit!$M$8,Wirtschaftlichkeit!$M$8,IF(AND($C78&lt;=Wirtschaftlichkeit!$M$8,$C78&gt;=Wirtschaftlichkeit!$M$8*Eingabemaske!$B$18),$C78,"0"))</f>
        <v>0</v>
      </c>
      <c r="BP78" s="222">
        <v>5329</v>
      </c>
      <c r="BQ78" s="224">
        <f t="shared" si="83"/>
        <v>0</v>
      </c>
      <c r="BR78" s="222">
        <v>5329</v>
      </c>
      <c r="BS78" s="226" t="str">
        <f t="shared" si="84"/>
        <v xml:space="preserve"> </v>
      </c>
      <c r="BT78" s="312">
        <v>5329</v>
      </c>
      <c r="BU78" s="286">
        <f>BO78*Wirtschaftlichkeit!$M$5/Wirtschaftlichkeit!$M$7</f>
        <v>0</v>
      </c>
      <c r="BV78" s="284">
        <f t="shared" si="85"/>
        <v>0</v>
      </c>
      <c r="BX78" s="222">
        <v>5329</v>
      </c>
      <c r="BY78" s="225" t="str">
        <f>IF($C78&gt;=Wirtschaftlichkeit!$N$8,Wirtschaftlichkeit!$N$8,IF(AND($C78&lt;=Wirtschaftlichkeit!$N$8,$C78&gt;=Wirtschaftlichkeit!$N$8*Eingabemaske!$B$18),$C78,"0"))</f>
        <v>0</v>
      </c>
      <c r="BZ78" s="222">
        <v>5329</v>
      </c>
      <c r="CA78" s="224">
        <f t="shared" si="86"/>
        <v>0</v>
      </c>
      <c r="CB78" s="222">
        <v>5329</v>
      </c>
      <c r="CC78" s="226" t="str">
        <f t="shared" si="87"/>
        <v xml:space="preserve"> </v>
      </c>
      <c r="CD78" s="312">
        <v>5329</v>
      </c>
      <c r="CE78" s="286">
        <f>BY78*Wirtschaftlichkeit!$N$5/Wirtschaftlichkeit!$N$7</f>
        <v>0</v>
      </c>
      <c r="CF78" s="284">
        <f t="shared" si="88"/>
        <v>0</v>
      </c>
      <c r="CH78" s="222">
        <v>5329</v>
      </c>
      <c r="CI78" s="225" t="str">
        <f>IF($C78&gt;=Wirtschaftlichkeit!$O$8,Wirtschaftlichkeit!$O$8,IF(AND($C78&lt;=Wirtschaftlichkeit!$O$8,$C78&gt;=Wirtschaftlichkeit!$O$8*Eingabemaske!$B$18),$C78,"0"))</f>
        <v>0</v>
      </c>
      <c r="CJ78" s="222">
        <v>5329</v>
      </c>
      <c r="CK78" s="224">
        <f t="shared" si="89"/>
        <v>0</v>
      </c>
      <c r="CL78" s="222">
        <v>5329</v>
      </c>
      <c r="CM78" s="226" t="str">
        <f t="shared" si="90"/>
        <v xml:space="preserve"> </v>
      </c>
      <c r="CN78" s="312">
        <v>5329</v>
      </c>
      <c r="CO78" s="286">
        <f>CI78*Wirtschaftlichkeit!$O$5/Wirtschaftlichkeit!$O$7</f>
        <v>0</v>
      </c>
      <c r="CP78" s="284">
        <f t="shared" si="91"/>
        <v>0</v>
      </c>
      <c r="CR78" s="222">
        <v>5329</v>
      </c>
      <c r="CS78" s="225" t="str">
        <f>IF($C78&gt;=Wirtschaftlichkeit!$P$8,Wirtschaftlichkeit!$P$8,IF(AND($C78&lt;=Wirtschaftlichkeit!$P$8,$C78&gt;=Wirtschaftlichkeit!$P$8*Eingabemaske!$B$18),$C78,"0"))</f>
        <v>0</v>
      </c>
      <c r="CT78" s="222">
        <v>5329</v>
      </c>
      <c r="CU78" s="224">
        <f t="shared" si="92"/>
        <v>0</v>
      </c>
      <c r="CV78" s="222">
        <v>5329</v>
      </c>
      <c r="CW78" s="226" t="str">
        <f t="shared" si="93"/>
        <v xml:space="preserve"> </v>
      </c>
      <c r="CX78" s="312">
        <v>5329</v>
      </c>
      <c r="CY78" s="286">
        <f>CS78*Wirtschaftlichkeit!$P$5/Wirtschaftlichkeit!$P$7</f>
        <v>0</v>
      </c>
      <c r="CZ78" s="284">
        <f t="shared" si="94"/>
        <v>0</v>
      </c>
      <c r="DB78" s="222">
        <v>5329</v>
      </c>
      <c r="DC78" s="225" t="str">
        <f>IF($C78&gt;=Wirtschaftlichkeit!$Q$8,Wirtschaftlichkeit!$Q$8,IF(AND($C78&lt;=Wirtschaftlichkeit!$Q$8,$C78&gt;=Wirtschaftlichkeit!$Q$8*Eingabemaske!$B$18),$C78,"0"))</f>
        <v>0</v>
      </c>
      <c r="DD78" s="222">
        <v>5329</v>
      </c>
      <c r="DE78" s="224">
        <f t="shared" si="95"/>
        <v>0</v>
      </c>
      <c r="DF78" s="222">
        <v>5329</v>
      </c>
      <c r="DG78" s="226" t="str">
        <f t="shared" si="96"/>
        <v xml:space="preserve"> </v>
      </c>
      <c r="DH78" s="312">
        <v>5329</v>
      </c>
      <c r="DI78" s="286">
        <f>DC78*Wirtschaftlichkeit!$Q$5/Wirtschaftlichkeit!$Q$7</f>
        <v>0</v>
      </c>
      <c r="DJ78" s="284">
        <f t="shared" si="97"/>
        <v>0</v>
      </c>
      <c r="DL78" s="222">
        <v>5329</v>
      </c>
      <c r="DM78" s="225" t="str">
        <f>IF($C78&gt;=Wirtschaftlichkeit!$R$8,Wirtschaftlichkeit!$R$8,IF(AND($C78&lt;=Wirtschaftlichkeit!$R$8,$C78&gt;=Wirtschaftlichkeit!$R$8*Eingabemaske!$B$18),$C78,"0"))</f>
        <v>0</v>
      </c>
      <c r="DN78" s="222">
        <v>5329</v>
      </c>
      <c r="DO78" s="224">
        <f t="shared" si="98"/>
        <v>0</v>
      </c>
      <c r="DP78" s="222">
        <v>5329</v>
      </c>
      <c r="DQ78" s="226" t="str">
        <f t="shared" si="99"/>
        <v xml:space="preserve"> </v>
      </c>
      <c r="DR78" s="312">
        <v>5329</v>
      </c>
      <c r="DS78" s="286">
        <f>DM78*Wirtschaftlichkeit!$R$5/Wirtschaftlichkeit!$R$7</f>
        <v>0</v>
      </c>
      <c r="DT78" s="284">
        <f t="shared" si="100"/>
        <v>0</v>
      </c>
      <c r="DV78" s="222">
        <v>5329</v>
      </c>
      <c r="DW78" s="225" t="str">
        <f>IF($C78&gt;=Wirtschaftlichkeit!$S$8,Wirtschaftlichkeit!$S$8,IF(AND($C78&lt;=Wirtschaftlichkeit!$S$8,$C78&gt;=Wirtschaftlichkeit!$S$8*Eingabemaske!$B$18),$C78,"0"))</f>
        <v>0</v>
      </c>
      <c r="DX78" s="222">
        <v>5329</v>
      </c>
      <c r="DY78" s="224">
        <f t="shared" si="101"/>
        <v>0</v>
      </c>
      <c r="DZ78" s="222">
        <v>5329</v>
      </c>
      <c r="EA78" s="226" t="str">
        <f t="shared" si="102"/>
        <v xml:space="preserve"> </v>
      </c>
      <c r="EB78" s="312">
        <v>5329</v>
      </c>
      <c r="EC78" s="286">
        <f>DW78*Wirtschaftlichkeit!$S$5/Wirtschaftlichkeit!$S$7</f>
        <v>0</v>
      </c>
      <c r="ED78" s="284">
        <f t="shared" si="103"/>
        <v>0</v>
      </c>
      <c r="EF78" s="222">
        <v>5329</v>
      </c>
      <c r="EG78" s="225" t="str">
        <f>IF($C78&gt;=Wirtschaftlichkeit!$T$8,Wirtschaftlichkeit!$T$8,IF(AND($C78&lt;=Wirtschaftlichkeit!$T$8,$C78&gt;=Wirtschaftlichkeit!$T$8*Eingabemaske!$B$18),$C78,"0"))</f>
        <v>0</v>
      </c>
      <c r="EH78" s="222">
        <v>5329</v>
      </c>
      <c r="EI78" s="224">
        <f t="shared" si="104"/>
        <v>0</v>
      </c>
      <c r="EJ78" s="222">
        <v>5329</v>
      </c>
      <c r="EK78" s="226" t="str">
        <f t="shared" si="105"/>
        <v xml:space="preserve"> </v>
      </c>
      <c r="EL78" s="312">
        <v>5329</v>
      </c>
      <c r="EM78" s="286">
        <f>EG78*Wirtschaftlichkeit!$T$5/Wirtschaftlichkeit!$T$7</f>
        <v>0</v>
      </c>
      <c r="EN78" s="284">
        <f t="shared" si="106"/>
        <v>0</v>
      </c>
      <c r="EP78" s="222">
        <v>5329</v>
      </c>
      <c r="EQ78" s="225" t="str">
        <f>IF($C78&gt;=Wirtschaftlichkeit!$U$8,Wirtschaftlichkeit!$U$8,IF(AND($C78&lt;=Wirtschaftlichkeit!$U$8,$C78&gt;=Wirtschaftlichkeit!$U$8*Eingabemaske!$B$18),$C78,"0"))</f>
        <v>0</v>
      </c>
      <c r="ER78" s="222">
        <v>5329</v>
      </c>
      <c r="ES78" s="224">
        <f t="shared" si="107"/>
        <v>0</v>
      </c>
      <c r="ET78" s="222">
        <v>5329</v>
      </c>
      <c r="EU78" s="226" t="str">
        <f t="shared" si="108"/>
        <v xml:space="preserve"> </v>
      </c>
      <c r="EV78" s="312">
        <v>5329</v>
      </c>
      <c r="EW78" s="286">
        <f>EQ78*Wirtschaftlichkeit!$U$5/Wirtschaftlichkeit!$U$7</f>
        <v>0</v>
      </c>
      <c r="EX78" s="284">
        <f t="shared" si="109"/>
        <v>0</v>
      </c>
      <c r="EZ78" s="222">
        <v>5329</v>
      </c>
      <c r="FA78" s="225" t="str">
        <f>IF($C78&gt;=Wirtschaftlichkeit!$V$8,Wirtschaftlichkeit!$V$8,IF(AND($C78&lt;=Wirtschaftlichkeit!$V$8,$C78&gt;=Wirtschaftlichkeit!$V$8*Eingabemaske!$B$18),$C78,"0"))</f>
        <v>0</v>
      </c>
      <c r="FB78" s="222">
        <v>5329</v>
      </c>
      <c r="FC78" s="224">
        <f t="shared" si="110"/>
        <v>0</v>
      </c>
      <c r="FD78" s="222">
        <v>5329</v>
      </c>
      <c r="FE78" s="226" t="str">
        <f t="shared" si="111"/>
        <v xml:space="preserve"> </v>
      </c>
      <c r="FF78" s="312">
        <v>5329</v>
      </c>
      <c r="FG78" s="286">
        <f>FA78*Wirtschaftlichkeit!$V$5/Wirtschaftlichkeit!$V$7</f>
        <v>0</v>
      </c>
      <c r="FH78" s="284">
        <f t="shared" si="112"/>
        <v>0</v>
      </c>
      <c r="FJ78" s="222">
        <v>5329</v>
      </c>
      <c r="FK78" s="225" t="str">
        <f>IF($C78&gt;=Wirtschaftlichkeit!$W$8,Wirtschaftlichkeit!$W$8,IF(AND($C78&lt;=Wirtschaftlichkeit!$W$8,$C78&gt;=Wirtschaftlichkeit!$W$8*Eingabemaske!$B$18),$C78,"0"))</f>
        <v>0</v>
      </c>
      <c r="FL78" s="222">
        <v>5329</v>
      </c>
      <c r="FM78" s="224">
        <f t="shared" si="113"/>
        <v>0</v>
      </c>
      <c r="FN78" s="222">
        <v>5329</v>
      </c>
      <c r="FO78" s="226" t="str">
        <f t="shared" si="114"/>
        <v xml:space="preserve"> </v>
      </c>
      <c r="FP78" s="312">
        <v>5329</v>
      </c>
      <c r="FQ78" s="286">
        <f>FK78*Wirtschaftlichkeit!$W$5/Wirtschaftlichkeit!$W$7</f>
        <v>0</v>
      </c>
      <c r="FR78" s="284">
        <f t="shared" si="115"/>
        <v>0</v>
      </c>
      <c r="FT78" s="222">
        <v>5329</v>
      </c>
      <c r="FU78" s="225" t="str">
        <f>IF($C78&gt;=Wirtschaftlichkeit!$X$8,Wirtschaftlichkeit!$X$8,IF(AND($C78&lt;=Wirtschaftlichkeit!$X$8,$C78&gt;=Wirtschaftlichkeit!$X$8*Eingabemaske!$B$18),$C78,"0"))</f>
        <v>0</v>
      </c>
      <c r="FV78" s="222">
        <v>5329</v>
      </c>
      <c r="FW78" s="224">
        <f t="shared" si="116"/>
        <v>0</v>
      </c>
      <c r="FX78" s="222">
        <v>5329</v>
      </c>
      <c r="FY78" s="226" t="str">
        <f t="shared" si="117"/>
        <v xml:space="preserve"> </v>
      </c>
      <c r="FZ78" s="312">
        <v>5329</v>
      </c>
      <c r="GA78" s="286">
        <f>FU78*Wirtschaftlichkeit!$X$5/Wirtschaftlichkeit!$X$7</f>
        <v>0</v>
      </c>
      <c r="GB78" s="284">
        <f t="shared" si="118"/>
        <v>0</v>
      </c>
      <c r="GD78" s="222">
        <v>5329</v>
      </c>
      <c r="GE78" s="225" t="str">
        <f>IF($C78&gt;=Wirtschaftlichkeit!$Y$8,Wirtschaftlichkeit!$Y$8,IF(AND($C78&lt;=Wirtschaftlichkeit!$Y$8,$C78&gt;=Wirtschaftlichkeit!$Y$8*Eingabemaske!$B$18),$C78,"0"))</f>
        <v>0</v>
      </c>
      <c r="GF78" s="222">
        <v>5329</v>
      </c>
      <c r="GG78" s="224">
        <f t="shared" si="119"/>
        <v>0</v>
      </c>
      <c r="GH78" s="222">
        <v>5329</v>
      </c>
      <c r="GI78" s="226" t="str">
        <f t="shared" si="120"/>
        <v xml:space="preserve"> </v>
      </c>
      <c r="GJ78" s="312">
        <v>5329</v>
      </c>
      <c r="GK78" s="286">
        <f>GE78*Wirtschaftlichkeit!$Y$5/Wirtschaftlichkeit!$Y$7</f>
        <v>0</v>
      </c>
      <c r="GL78" s="284">
        <f t="shared" si="121"/>
        <v>0</v>
      </c>
      <c r="GN78" s="222">
        <v>5329</v>
      </c>
      <c r="GO78" s="225" t="str">
        <f>IF($C78&gt;=Wirtschaftlichkeit!$Z$8,Wirtschaftlichkeit!$Z$8,IF(AND($C78&lt;=Wirtschaftlichkeit!$Z$8,$C78&gt;=Wirtschaftlichkeit!$Z$8*Eingabemaske!$B$18),$C78,"0"))</f>
        <v>0</v>
      </c>
      <c r="GP78" s="222">
        <v>5329</v>
      </c>
      <c r="GQ78" s="224">
        <f t="shared" si="122"/>
        <v>0</v>
      </c>
      <c r="GR78" s="222">
        <v>5329</v>
      </c>
      <c r="GS78" s="226" t="str">
        <f t="shared" si="123"/>
        <v xml:space="preserve"> </v>
      </c>
      <c r="GT78" s="312">
        <v>5329</v>
      </c>
      <c r="GU78" s="286">
        <f>GO78*Wirtschaftlichkeit!$Z$5/Wirtschaftlichkeit!$Z$7</f>
        <v>0</v>
      </c>
      <c r="GV78" s="284">
        <f t="shared" si="124"/>
        <v>0</v>
      </c>
      <c r="GW78" s="266"/>
      <c r="GX78" s="258">
        <v>5329</v>
      </c>
      <c r="GY78" s="270" t="str">
        <f>IF(Berechnung_Diagramme!$C$28=Berechnungen_Lastgang!$F$2,Berechnungen_Lastgang!G78,IF(Berechnung_Diagramme!$C$28=Berechnungen_Lastgang!$P$2,Berechnungen_Lastgang!Q78,IF(Berechnung_Diagramme!$C$28=Berechnungen_Lastgang!$Z$2,Berechnungen_Lastgang!AA78,IF(Berechnung_Diagramme!$C$28=Berechnungen_Lastgang!$AJ$2,Berechnungen_Lastgang!AK78,IF(Berechnung_Diagramme!$C$28=Berechnungen_Lastgang!$AT$2,Berechnungen_Lastgang!AU78,IF(Berechnung_Diagramme!$C$28=Berechnungen_Lastgang!$BD$2,Berechnungen_Lastgang!BE78,IF(Berechnung_Diagramme!$C$28=Berechnungen_Lastgang!$BN$2,Berechnungen_Lastgang!BO78,IF(Berechnung_Diagramme!$C$28=Berechnungen_Lastgang!$BX$2,Berechnungen_Lastgang!BY78,IF(Berechnung_Diagramme!$C$28=Berechnungen_Lastgang!$CH$2,Berechnungen_Lastgang!CI78,IF(Berechnung_Diagramme!$C$28=Berechnungen_Lastgang!$CR$2,Berechnungen_Lastgang!CS78,IF(Berechnung_Diagramme!$C$28=Berechnungen_Lastgang!$DB$2,Berechnungen_Lastgang!DC78,IF(Berechnung_Diagramme!$C$28=Berechnungen_Lastgang!$DL$2,Berechnungen_Lastgang!DM78,IF(Berechnung_Diagramme!$C$28=Berechnungen_Lastgang!$DV$2,Berechnungen_Lastgang!DW78,IF(Berechnung_Diagramme!$C$28=Berechnungen_Lastgang!$EF$2,Berechnungen_Lastgang!EG78,IF(Berechnung_Diagramme!$C$28=Berechnungen_Lastgang!$EP$2,Berechnungen_Lastgang!EQ78,IF(Berechnung_Diagramme!$C$28=Berechnungen_Lastgang!$EZ$2,Berechnungen_Lastgang!FA78,IF(Berechnung_Diagramme!$C$28=Berechnungen_Lastgang!$FJ$2,Berechnungen_Lastgang!FK78,IF(Berechnung_Diagramme!$C$28=Berechnungen_Lastgang!$FT$2,Berechnungen_Lastgang!FU78,IF(Berechnung_Diagramme!$C$28=Berechnungen_Lastgang!$GD$2,Berechnungen_Lastgang!GE78,IF(Berechnung_Diagramme!$C$28=Berechnungen_Lastgang!$GN$2,Berechnungen_Lastgang!GO78,""))))))))))))))))))))</f>
        <v>0</v>
      </c>
    </row>
    <row r="79" spans="2:207" x14ac:dyDescent="0.25">
      <c r="B79" s="64">
        <v>5402</v>
      </c>
      <c r="C79" s="67">
        <f>C78+((C80-C78)/(B80-B78))*(B79-B78)</f>
        <v>7.3650599999999997</v>
      </c>
      <c r="D79" s="66">
        <f t="shared" si="64"/>
        <v>535.15606500000001</v>
      </c>
      <c r="F79" s="64">
        <v>5402</v>
      </c>
      <c r="G79" s="225">
        <f>IF($C79&gt;=Wirtschaftlichkeit!$G$8,Wirtschaftlichkeit!$G$8,IF(AND($C79&lt;=Wirtschaftlichkeit!$G$8,$C79&gt;=Wirtschaftlichkeit!$G$8*Eingabemaske!$B$18),$C79,"0"))</f>
        <v>2.8333333333333335</v>
      </c>
      <c r="H79" s="64">
        <v>5402</v>
      </c>
      <c r="I79" s="66">
        <f t="shared" si="65"/>
        <v>206.83333333333334</v>
      </c>
      <c r="J79" s="64">
        <v>5402</v>
      </c>
      <c r="K79" s="71">
        <f t="shared" si="66"/>
        <v>2.8333333333333335</v>
      </c>
      <c r="L79" s="312">
        <v>5402</v>
      </c>
      <c r="M79" s="286">
        <f>G79*Wirtschaftlichkeit!$G$5/Wirtschaftlichkeit!$G$7</f>
        <v>1</v>
      </c>
      <c r="N79" s="284">
        <f t="shared" si="67"/>
        <v>73</v>
      </c>
      <c r="P79" s="222">
        <v>5402</v>
      </c>
      <c r="Q79" s="225">
        <f>IF($C79&gt;=Wirtschaftlichkeit!$H$8,Wirtschaftlichkeit!$H$8,IF(AND($C79&lt;=Wirtschaftlichkeit!$H$8,$C79&gt;=Wirtschaftlichkeit!$H$8*Eingabemaske!$B$18),$C79,"0"))</f>
        <v>5.5876288659793811</v>
      </c>
      <c r="R79" s="222">
        <v>5402</v>
      </c>
      <c r="S79" s="224">
        <f t="shared" si="68"/>
        <v>407.89690721649481</v>
      </c>
      <c r="T79" s="222">
        <v>5402</v>
      </c>
      <c r="U79" s="226">
        <f t="shared" si="69"/>
        <v>5.5876288659793811</v>
      </c>
      <c r="V79" s="312">
        <v>5402</v>
      </c>
      <c r="W79" s="286">
        <f>Q79*Wirtschaftlichkeit!$H$5/Wirtschaftlichkeit!$H$7</f>
        <v>2</v>
      </c>
      <c r="X79" s="284">
        <f t="shared" si="70"/>
        <v>146</v>
      </c>
      <c r="Z79" s="222">
        <v>5402</v>
      </c>
      <c r="AA79" s="225">
        <f>IF($C79&gt;=Wirtschaftlichkeit!$I$8,Wirtschaftlichkeit!$I$8,IF(AND($C79&lt;=Wirtschaftlichkeit!$I$8,$C79&gt;=Wirtschaftlichkeit!$I$8*Eingabemaske!$B$18),$C79,"0"))</f>
        <v>7.3650599999999997</v>
      </c>
      <c r="AB79" s="222">
        <v>5402</v>
      </c>
      <c r="AC79" s="224">
        <f t="shared" si="71"/>
        <v>535.15606500000001</v>
      </c>
      <c r="AD79" s="222">
        <v>5402</v>
      </c>
      <c r="AE79" s="226">
        <f t="shared" si="72"/>
        <v>7.3650599999999997</v>
      </c>
      <c r="AF79" s="312">
        <v>5402</v>
      </c>
      <c r="AG79" s="286">
        <f>AA79*Wirtschaftlichkeit!$I$5/Wirtschaftlichkeit!$I$7</f>
        <v>2.6791245034235742</v>
      </c>
      <c r="AH79" s="284">
        <f t="shared" si="73"/>
        <v>194.66911700613966</v>
      </c>
      <c r="AJ79" s="222">
        <v>5402</v>
      </c>
      <c r="AK79" s="225">
        <f>IF($C79&gt;=Wirtschaftlichkeit!$J$8,Wirtschaftlichkeit!$J$8,IF(AND($C79&lt;=Wirtschaftlichkeit!$J$8,$C79&gt;=Wirtschaftlichkeit!$J$8*Eingabemaske!$B$18),$C79,"0"))</f>
        <v>7.3650599999999997</v>
      </c>
      <c r="AL79" s="222">
        <v>5402</v>
      </c>
      <c r="AM79" s="224">
        <f t="shared" si="74"/>
        <v>535.15606500000001</v>
      </c>
      <c r="AN79" s="222">
        <v>5402</v>
      </c>
      <c r="AO79" s="226">
        <f t="shared" si="75"/>
        <v>7.3650599999999997</v>
      </c>
      <c r="AP79" s="312">
        <v>5402</v>
      </c>
      <c r="AQ79" s="286">
        <f>AK79*Wirtschaftlichkeit!$J$5/Wirtschaftlichkeit!$J$7</f>
        <v>2.7957641666857689</v>
      </c>
      <c r="AR79" s="284">
        <f t="shared" si="76"/>
        <v>203.14432606272862</v>
      </c>
      <c r="AT79" s="222">
        <v>5402</v>
      </c>
      <c r="AU79" s="225">
        <f>IF($C79&gt;=Wirtschaftlichkeit!$K$8,Wirtschaftlichkeit!$K$8,IF(AND($C79&lt;=Wirtschaftlichkeit!$K$8,$C79&gt;=Wirtschaftlichkeit!$K$8*Eingabemaske!$B$18),$C79,"0"))</f>
        <v>7.3650599999999997</v>
      </c>
      <c r="AV79" s="222">
        <v>5402</v>
      </c>
      <c r="AW79" s="224">
        <f t="shared" si="77"/>
        <v>535.15606500000001</v>
      </c>
      <c r="AX79" s="222">
        <v>5402</v>
      </c>
      <c r="AY79" s="226">
        <f t="shared" si="78"/>
        <v>7.3650599999999997</v>
      </c>
      <c r="AZ79" s="312">
        <v>5402</v>
      </c>
      <c r="BA79" s="286">
        <f>AU79*Wirtschaftlichkeit!$K$5/Wirtschaftlichkeit!$K$7</f>
        <v>2.8907250843452137</v>
      </c>
      <c r="BB79" s="284">
        <f t="shared" si="79"/>
        <v>210.04432565857951</v>
      </c>
      <c r="BD79" s="222">
        <v>5402</v>
      </c>
      <c r="BE79" s="225" t="str">
        <f>IF($C79&gt;=Wirtschaftlichkeit!$L$8,Wirtschaftlichkeit!$L$8,IF(AND($C79&lt;=Wirtschaftlichkeit!$L$8,$C79&gt;=Wirtschaftlichkeit!$L$8*Eingabemaske!$B$18),$C79,"0"))</f>
        <v>0</v>
      </c>
      <c r="BF79" s="222">
        <v>5402</v>
      </c>
      <c r="BG79" s="224">
        <f t="shared" si="80"/>
        <v>0</v>
      </c>
      <c r="BH79" s="222">
        <v>5402</v>
      </c>
      <c r="BI79" s="226" t="str">
        <f t="shared" si="81"/>
        <v xml:space="preserve"> </v>
      </c>
      <c r="BJ79" s="312">
        <v>5402</v>
      </c>
      <c r="BK79" s="286">
        <f>BE79*Wirtschaftlichkeit!$L$5/Wirtschaftlichkeit!$L$7</f>
        <v>0</v>
      </c>
      <c r="BL79" s="284">
        <f t="shared" si="82"/>
        <v>0</v>
      </c>
      <c r="BN79" s="222">
        <v>5402</v>
      </c>
      <c r="BO79" s="225" t="str">
        <f>IF($C79&gt;=Wirtschaftlichkeit!$M$8,Wirtschaftlichkeit!$M$8,IF(AND($C79&lt;=Wirtschaftlichkeit!$M$8,$C79&gt;=Wirtschaftlichkeit!$M$8*Eingabemaske!$B$18),$C79,"0"))</f>
        <v>0</v>
      </c>
      <c r="BP79" s="222">
        <v>5402</v>
      </c>
      <c r="BQ79" s="224">
        <f t="shared" si="83"/>
        <v>0</v>
      </c>
      <c r="BR79" s="222">
        <v>5402</v>
      </c>
      <c r="BS79" s="226" t="str">
        <f t="shared" si="84"/>
        <v xml:space="preserve"> </v>
      </c>
      <c r="BT79" s="312">
        <v>5402</v>
      </c>
      <c r="BU79" s="286">
        <f>BO79*Wirtschaftlichkeit!$M$5/Wirtschaftlichkeit!$M$7</f>
        <v>0</v>
      </c>
      <c r="BV79" s="284">
        <f t="shared" si="85"/>
        <v>0</v>
      </c>
      <c r="BX79" s="222">
        <v>5402</v>
      </c>
      <c r="BY79" s="225" t="str">
        <f>IF($C79&gt;=Wirtschaftlichkeit!$N$8,Wirtschaftlichkeit!$N$8,IF(AND($C79&lt;=Wirtschaftlichkeit!$N$8,$C79&gt;=Wirtschaftlichkeit!$N$8*Eingabemaske!$B$18),$C79,"0"))</f>
        <v>0</v>
      </c>
      <c r="BZ79" s="222">
        <v>5402</v>
      </c>
      <c r="CA79" s="224">
        <f t="shared" si="86"/>
        <v>0</v>
      </c>
      <c r="CB79" s="222">
        <v>5402</v>
      </c>
      <c r="CC79" s="226" t="str">
        <f t="shared" si="87"/>
        <v xml:space="preserve"> </v>
      </c>
      <c r="CD79" s="312">
        <v>5402</v>
      </c>
      <c r="CE79" s="286">
        <f>BY79*Wirtschaftlichkeit!$N$5/Wirtschaftlichkeit!$N$7</f>
        <v>0</v>
      </c>
      <c r="CF79" s="284">
        <f t="shared" si="88"/>
        <v>0</v>
      </c>
      <c r="CH79" s="222">
        <v>5402</v>
      </c>
      <c r="CI79" s="225" t="str">
        <f>IF($C79&gt;=Wirtschaftlichkeit!$O$8,Wirtschaftlichkeit!$O$8,IF(AND($C79&lt;=Wirtschaftlichkeit!$O$8,$C79&gt;=Wirtschaftlichkeit!$O$8*Eingabemaske!$B$18),$C79,"0"))</f>
        <v>0</v>
      </c>
      <c r="CJ79" s="222">
        <v>5402</v>
      </c>
      <c r="CK79" s="224">
        <f t="shared" si="89"/>
        <v>0</v>
      </c>
      <c r="CL79" s="222">
        <v>5402</v>
      </c>
      <c r="CM79" s="226" t="str">
        <f t="shared" si="90"/>
        <v xml:space="preserve"> </v>
      </c>
      <c r="CN79" s="312">
        <v>5402</v>
      </c>
      <c r="CO79" s="286">
        <f>CI79*Wirtschaftlichkeit!$O$5/Wirtschaftlichkeit!$O$7</f>
        <v>0</v>
      </c>
      <c r="CP79" s="284">
        <f t="shared" si="91"/>
        <v>0</v>
      </c>
      <c r="CR79" s="222">
        <v>5402</v>
      </c>
      <c r="CS79" s="225" t="str">
        <f>IF($C79&gt;=Wirtschaftlichkeit!$P$8,Wirtschaftlichkeit!$P$8,IF(AND($C79&lt;=Wirtschaftlichkeit!$P$8,$C79&gt;=Wirtschaftlichkeit!$P$8*Eingabemaske!$B$18),$C79,"0"))</f>
        <v>0</v>
      </c>
      <c r="CT79" s="222">
        <v>5402</v>
      </c>
      <c r="CU79" s="224">
        <f t="shared" si="92"/>
        <v>0</v>
      </c>
      <c r="CV79" s="222">
        <v>5402</v>
      </c>
      <c r="CW79" s="226" t="str">
        <f t="shared" si="93"/>
        <v xml:space="preserve"> </v>
      </c>
      <c r="CX79" s="312">
        <v>5402</v>
      </c>
      <c r="CY79" s="286">
        <f>CS79*Wirtschaftlichkeit!$P$5/Wirtschaftlichkeit!$P$7</f>
        <v>0</v>
      </c>
      <c r="CZ79" s="284">
        <f t="shared" si="94"/>
        <v>0</v>
      </c>
      <c r="DB79" s="222">
        <v>5402</v>
      </c>
      <c r="DC79" s="225" t="str">
        <f>IF($C79&gt;=Wirtschaftlichkeit!$Q$8,Wirtschaftlichkeit!$Q$8,IF(AND($C79&lt;=Wirtschaftlichkeit!$Q$8,$C79&gt;=Wirtschaftlichkeit!$Q$8*Eingabemaske!$B$18),$C79,"0"))</f>
        <v>0</v>
      </c>
      <c r="DD79" s="222">
        <v>5402</v>
      </c>
      <c r="DE79" s="224">
        <f t="shared" si="95"/>
        <v>0</v>
      </c>
      <c r="DF79" s="222">
        <v>5402</v>
      </c>
      <c r="DG79" s="226" t="str">
        <f t="shared" si="96"/>
        <v xml:space="preserve"> </v>
      </c>
      <c r="DH79" s="312">
        <v>5402</v>
      </c>
      <c r="DI79" s="286">
        <f>DC79*Wirtschaftlichkeit!$Q$5/Wirtschaftlichkeit!$Q$7</f>
        <v>0</v>
      </c>
      <c r="DJ79" s="284">
        <f t="shared" si="97"/>
        <v>0</v>
      </c>
      <c r="DL79" s="222">
        <v>5402</v>
      </c>
      <c r="DM79" s="225" t="str">
        <f>IF($C79&gt;=Wirtschaftlichkeit!$R$8,Wirtschaftlichkeit!$R$8,IF(AND($C79&lt;=Wirtschaftlichkeit!$R$8,$C79&gt;=Wirtschaftlichkeit!$R$8*Eingabemaske!$B$18),$C79,"0"))</f>
        <v>0</v>
      </c>
      <c r="DN79" s="222">
        <v>5402</v>
      </c>
      <c r="DO79" s="224">
        <f t="shared" si="98"/>
        <v>0</v>
      </c>
      <c r="DP79" s="222">
        <v>5402</v>
      </c>
      <c r="DQ79" s="226" t="str">
        <f t="shared" si="99"/>
        <v xml:space="preserve"> </v>
      </c>
      <c r="DR79" s="312">
        <v>5402</v>
      </c>
      <c r="DS79" s="286">
        <f>DM79*Wirtschaftlichkeit!$R$5/Wirtschaftlichkeit!$R$7</f>
        <v>0</v>
      </c>
      <c r="DT79" s="284">
        <f t="shared" si="100"/>
        <v>0</v>
      </c>
      <c r="DV79" s="222">
        <v>5402</v>
      </c>
      <c r="DW79" s="225" t="str">
        <f>IF($C79&gt;=Wirtschaftlichkeit!$S$8,Wirtschaftlichkeit!$S$8,IF(AND($C79&lt;=Wirtschaftlichkeit!$S$8,$C79&gt;=Wirtschaftlichkeit!$S$8*Eingabemaske!$B$18),$C79,"0"))</f>
        <v>0</v>
      </c>
      <c r="DX79" s="222">
        <v>5402</v>
      </c>
      <c r="DY79" s="224">
        <f t="shared" si="101"/>
        <v>0</v>
      </c>
      <c r="DZ79" s="222">
        <v>5402</v>
      </c>
      <c r="EA79" s="226" t="str">
        <f t="shared" si="102"/>
        <v xml:space="preserve"> </v>
      </c>
      <c r="EB79" s="312">
        <v>5402</v>
      </c>
      <c r="EC79" s="286">
        <f>DW79*Wirtschaftlichkeit!$S$5/Wirtschaftlichkeit!$S$7</f>
        <v>0</v>
      </c>
      <c r="ED79" s="284">
        <f t="shared" si="103"/>
        <v>0</v>
      </c>
      <c r="EF79" s="222">
        <v>5402</v>
      </c>
      <c r="EG79" s="225" t="str">
        <f>IF($C79&gt;=Wirtschaftlichkeit!$T$8,Wirtschaftlichkeit!$T$8,IF(AND($C79&lt;=Wirtschaftlichkeit!$T$8,$C79&gt;=Wirtschaftlichkeit!$T$8*Eingabemaske!$B$18),$C79,"0"))</f>
        <v>0</v>
      </c>
      <c r="EH79" s="222">
        <v>5402</v>
      </c>
      <c r="EI79" s="224">
        <f t="shared" si="104"/>
        <v>0</v>
      </c>
      <c r="EJ79" s="222">
        <v>5402</v>
      </c>
      <c r="EK79" s="226" t="str">
        <f t="shared" si="105"/>
        <v xml:space="preserve"> </v>
      </c>
      <c r="EL79" s="312">
        <v>5402</v>
      </c>
      <c r="EM79" s="286">
        <f>EG79*Wirtschaftlichkeit!$T$5/Wirtschaftlichkeit!$T$7</f>
        <v>0</v>
      </c>
      <c r="EN79" s="284">
        <f t="shared" si="106"/>
        <v>0</v>
      </c>
      <c r="EP79" s="222">
        <v>5402</v>
      </c>
      <c r="EQ79" s="225" t="str">
        <f>IF($C79&gt;=Wirtschaftlichkeit!$U$8,Wirtschaftlichkeit!$U$8,IF(AND($C79&lt;=Wirtschaftlichkeit!$U$8,$C79&gt;=Wirtschaftlichkeit!$U$8*Eingabemaske!$B$18),$C79,"0"))</f>
        <v>0</v>
      </c>
      <c r="ER79" s="222">
        <v>5402</v>
      </c>
      <c r="ES79" s="224">
        <f t="shared" si="107"/>
        <v>0</v>
      </c>
      <c r="ET79" s="222">
        <v>5402</v>
      </c>
      <c r="EU79" s="226" t="str">
        <f t="shared" si="108"/>
        <v xml:space="preserve"> </v>
      </c>
      <c r="EV79" s="312">
        <v>5402</v>
      </c>
      <c r="EW79" s="286">
        <f>EQ79*Wirtschaftlichkeit!$U$5/Wirtschaftlichkeit!$U$7</f>
        <v>0</v>
      </c>
      <c r="EX79" s="284">
        <f t="shared" si="109"/>
        <v>0</v>
      </c>
      <c r="EZ79" s="222">
        <v>5402</v>
      </c>
      <c r="FA79" s="225" t="str">
        <f>IF($C79&gt;=Wirtschaftlichkeit!$V$8,Wirtschaftlichkeit!$V$8,IF(AND($C79&lt;=Wirtschaftlichkeit!$V$8,$C79&gt;=Wirtschaftlichkeit!$V$8*Eingabemaske!$B$18),$C79,"0"))</f>
        <v>0</v>
      </c>
      <c r="FB79" s="222">
        <v>5402</v>
      </c>
      <c r="FC79" s="224">
        <f t="shared" si="110"/>
        <v>0</v>
      </c>
      <c r="FD79" s="222">
        <v>5402</v>
      </c>
      <c r="FE79" s="226" t="str">
        <f t="shared" si="111"/>
        <v xml:space="preserve"> </v>
      </c>
      <c r="FF79" s="312">
        <v>5402</v>
      </c>
      <c r="FG79" s="286">
        <f>FA79*Wirtschaftlichkeit!$V$5/Wirtschaftlichkeit!$V$7</f>
        <v>0</v>
      </c>
      <c r="FH79" s="284">
        <f t="shared" si="112"/>
        <v>0</v>
      </c>
      <c r="FJ79" s="222">
        <v>5402</v>
      </c>
      <c r="FK79" s="225" t="str">
        <f>IF($C79&gt;=Wirtschaftlichkeit!$W$8,Wirtschaftlichkeit!$W$8,IF(AND($C79&lt;=Wirtschaftlichkeit!$W$8,$C79&gt;=Wirtschaftlichkeit!$W$8*Eingabemaske!$B$18),$C79,"0"))</f>
        <v>0</v>
      </c>
      <c r="FL79" s="222">
        <v>5402</v>
      </c>
      <c r="FM79" s="224">
        <f t="shared" si="113"/>
        <v>0</v>
      </c>
      <c r="FN79" s="222">
        <v>5402</v>
      </c>
      <c r="FO79" s="226" t="str">
        <f t="shared" si="114"/>
        <v xml:space="preserve"> </v>
      </c>
      <c r="FP79" s="312">
        <v>5402</v>
      </c>
      <c r="FQ79" s="286">
        <f>FK79*Wirtschaftlichkeit!$W$5/Wirtschaftlichkeit!$W$7</f>
        <v>0</v>
      </c>
      <c r="FR79" s="284">
        <f t="shared" si="115"/>
        <v>0</v>
      </c>
      <c r="FT79" s="222">
        <v>5402</v>
      </c>
      <c r="FU79" s="225" t="str">
        <f>IF($C79&gt;=Wirtschaftlichkeit!$X$8,Wirtschaftlichkeit!$X$8,IF(AND($C79&lt;=Wirtschaftlichkeit!$X$8,$C79&gt;=Wirtschaftlichkeit!$X$8*Eingabemaske!$B$18),$C79,"0"))</f>
        <v>0</v>
      </c>
      <c r="FV79" s="222">
        <v>5402</v>
      </c>
      <c r="FW79" s="224">
        <f t="shared" si="116"/>
        <v>0</v>
      </c>
      <c r="FX79" s="222">
        <v>5402</v>
      </c>
      <c r="FY79" s="226" t="str">
        <f t="shared" si="117"/>
        <v xml:space="preserve"> </v>
      </c>
      <c r="FZ79" s="312">
        <v>5402</v>
      </c>
      <c r="GA79" s="286">
        <f>FU79*Wirtschaftlichkeit!$X$5/Wirtschaftlichkeit!$X$7</f>
        <v>0</v>
      </c>
      <c r="GB79" s="284">
        <f t="shared" si="118"/>
        <v>0</v>
      </c>
      <c r="GD79" s="222">
        <v>5402</v>
      </c>
      <c r="GE79" s="225" t="str">
        <f>IF($C79&gt;=Wirtschaftlichkeit!$Y$8,Wirtschaftlichkeit!$Y$8,IF(AND($C79&lt;=Wirtschaftlichkeit!$Y$8,$C79&gt;=Wirtschaftlichkeit!$Y$8*Eingabemaske!$B$18),$C79,"0"))</f>
        <v>0</v>
      </c>
      <c r="GF79" s="222">
        <v>5402</v>
      </c>
      <c r="GG79" s="224">
        <f t="shared" si="119"/>
        <v>0</v>
      </c>
      <c r="GH79" s="222">
        <v>5402</v>
      </c>
      <c r="GI79" s="226" t="str">
        <f t="shared" si="120"/>
        <v xml:space="preserve"> </v>
      </c>
      <c r="GJ79" s="312">
        <v>5402</v>
      </c>
      <c r="GK79" s="286">
        <f>GE79*Wirtschaftlichkeit!$Y$5/Wirtschaftlichkeit!$Y$7</f>
        <v>0</v>
      </c>
      <c r="GL79" s="284">
        <f t="shared" si="121"/>
        <v>0</v>
      </c>
      <c r="GN79" s="222">
        <v>5402</v>
      </c>
      <c r="GO79" s="225" t="str">
        <f>IF($C79&gt;=Wirtschaftlichkeit!$Z$8,Wirtschaftlichkeit!$Z$8,IF(AND($C79&lt;=Wirtschaftlichkeit!$Z$8,$C79&gt;=Wirtschaftlichkeit!$Z$8*Eingabemaske!$B$18),$C79,"0"))</f>
        <v>0</v>
      </c>
      <c r="GP79" s="222">
        <v>5402</v>
      </c>
      <c r="GQ79" s="224">
        <f t="shared" si="122"/>
        <v>0</v>
      </c>
      <c r="GR79" s="222">
        <v>5402</v>
      </c>
      <c r="GS79" s="226" t="str">
        <f t="shared" si="123"/>
        <v xml:space="preserve"> </v>
      </c>
      <c r="GT79" s="312">
        <v>5402</v>
      </c>
      <c r="GU79" s="286">
        <f>GO79*Wirtschaftlichkeit!$Z$5/Wirtschaftlichkeit!$Z$7</f>
        <v>0</v>
      </c>
      <c r="GV79" s="284">
        <f t="shared" si="124"/>
        <v>0</v>
      </c>
      <c r="GW79" s="266"/>
      <c r="GX79" s="258">
        <v>5402</v>
      </c>
      <c r="GY79" s="270" t="str">
        <f>IF(Berechnung_Diagramme!$C$28=Berechnungen_Lastgang!$F$2,Berechnungen_Lastgang!G79,IF(Berechnung_Diagramme!$C$28=Berechnungen_Lastgang!$P$2,Berechnungen_Lastgang!Q79,IF(Berechnung_Diagramme!$C$28=Berechnungen_Lastgang!$Z$2,Berechnungen_Lastgang!AA79,IF(Berechnung_Diagramme!$C$28=Berechnungen_Lastgang!$AJ$2,Berechnungen_Lastgang!AK79,IF(Berechnung_Diagramme!$C$28=Berechnungen_Lastgang!$AT$2,Berechnungen_Lastgang!AU79,IF(Berechnung_Diagramme!$C$28=Berechnungen_Lastgang!$BD$2,Berechnungen_Lastgang!BE79,IF(Berechnung_Diagramme!$C$28=Berechnungen_Lastgang!$BN$2,Berechnungen_Lastgang!BO79,IF(Berechnung_Diagramme!$C$28=Berechnungen_Lastgang!$BX$2,Berechnungen_Lastgang!BY79,IF(Berechnung_Diagramme!$C$28=Berechnungen_Lastgang!$CH$2,Berechnungen_Lastgang!CI79,IF(Berechnung_Diagramme!$C$28=Berechnungen_Lastgang!$CR$2,Berechnungen_Lastgang!CS79,IF(Berechnung_Diagramme!$C$28=Berechnungen_Lastgang!$DB$2,Berechnungen_Lastgang!DC79,IF(Berechnung_Diagramme!$C$28=Berechnungen_Lastgang!$DL$2,Berechnungen_Lastgang!DM79,IF(Berechnung_Diagramme!$C$28=Berechnungen_Lastgang!$DV$2,Berechnungen_Lastgang!DW79,IF(Berechnung_Diagramme!$C$28=Berechnungen_Lastgang!$EF$2,Berechnungen_Lastgang!EG79,IF(Berechnung_Diagramme!$C$28=Berechnungen_Lastgang!$EP$2,Berechnungen_Lastgang!EQ79,IF(Berechnung_Diagramme!$C$28=Berechnungen_Lastgang!$EZ$2,Berechnungen_Lastgang!FA79,IF(Berechnung_Diagramme!$C$28=Berechnungen_Lastgang!$FJ$2,Berechnungen_Lastgang!FK79,IF(Berechnung_Diagramme!$C$28=Berechnungen_Lastgang!$FT$2,Berechnungen_Lastgang!FU79,IF(Berechnung_Diagramme!$C$28=Berechnungen_Lastgang!$GD$2,Berechnungen_Lastgang!GE79,IF(Berechnung_Diagramme!$C$28=Berechnungen_Lastgang!$GN$2,Berechnungen_Lastgang!GO79,""))))))))))))))))))))</f>
        <v>0</v>
      </c>
    </row>
    <row r="80" spans="2:207" x14ac:dyDescent="0.25">
      <c r="B80" s="64">
        <v>5475</v>
      </c>
      <c r="C80" s="67">
        <f>(C75+C85)/2</f>
        <v>7.2967499999999994</v>
      </c>
      <c r="D80" s="66">
        <f t="shared" si="64"/>
        <v>530.16943499999991</v>
      </c>
      <c r="F80" s="64">
        <v>5475</v>
      </c>
      <c r="G80" s="225">
        <f>IF($C80&gt;=Wirtschaftlichkeit!$G$8,Wirtschaftlichkeit!$G$8,IF(AND($C80&lt;=Wirtschaftlichkeit!$G$8,$C80&gt;=Wirtschaftlichkeit!$G$8*Eingabemaske!$B$18),$C80,"0"))</f>
        <v>2.8333333333333335</v>
      </c>
      <c r="H80" s="64">
        <v>5475</v>
      </c>
      <c r="I80" s="66">
        <f t="shared" si="65"/>
        <v>206.83333333333334</v>
      </c>
      <c r="J80" s="64">
        <v>5475</v>
      </c>
      <c r="K80" s="71">
        <f t="shared" si="66"/>
        <v>2.8333333333333335</v>
      </c>
      <c r="L80" s="312">
        <v>5475</v>
      </c>
      <c r="M80" s="286">
        <f>G80*Wirtschaftlichkeit!$G$5/Wirtschaftlichkeit!$G$7</f>
        <v>1</v>
      </c>
      <c r="N80" s="284">
        <f t="shared" si="67"/>
        <v>73</v>
      </c>
      <c r="P80" s="222">
        <v>5475</v>
      </c>
      <c r="Q80" s="225">
        <f>IF($C80&gt;=Wirtschaftlichkeit!$H$8,Wirtschaftlichkeit!$H$8,IF(AND($C80&lt;=Wirtschaftlichkeit!$H$8,$C80&gt;=Wirtschaftlichkeit!$H$8*Eingabemaske!$B$18),$C80,"0"))</f>
        <v>5.5876288659793811</v>
      </c>
      <c r="R80" s="222">
        <v>5475</v>
      </c>
      <c r="S80" s="224">
        <f t="shared" si="68"/>
        <v>407.89690721649481</v>
      </c>
      <c r="T80" s="222">
        <v>5475</v>
      </c>
      <c r="U80" s="226">
        <f t="shared" si="69"/>
        <v>5.5876288659793811</v>
      </c>
      <c r="V80" s="312">
        <v>5475</v>
      </c>
      <c r="W80" s="286">
        <f>Q80*Wirtschaftlichkeit!$H$5/Wirtschaftlichkeit!$H$7</f>
        <v>2</v>
      </c>
      <c r="X80" s="284">
        <f t="shared" si="70"/>
        <v>146</v>
      </c>
      <c r="Z80" s="222">
        <v>5475</v>
      </c>
      <c r="AA80" s="225">
        <f>IF($C80&gt;=Wirtschaftlichkeit!$I$8,Wirtschaftlichkeit!$I$8,IF(AND($C80&lt;=Wirtschaftlichkeit!$I$8,$C80&gt;=Wirtschaftlichkeit!$I$8*Eingabemaske!$B$18),$C80,"0"))</f>
        <v>7.2967499999999994</v>
      </c>
      <c r="AB80" s="222">
        <v>5475</v>
      </c>
      <c r="AC80" s="224">
        <f t="shared" si="71"/>
        <v>530.16943499999991</v>
      </c>
      <c r="AD80" s="222">
        <v>5475</v>
      </c>
      <c r="AE80" s="226">
        <f t="shared" si="72"/>
        <v>7.2967499999999994</v>
      </c>
      <c r="AF80" s="312">
        <v>5475</v>
      </c>
      <c r="AG80" s="286">
        <f>AA80*Wirtschaftlichkeit!$I$5/Wirtschaftlichkeit!$I$7</f>
        <v>2.6542759624980601</v>
      </c>
      <c r="AH80" s="284">
        <f t="shared" si="73"/>
        <v>192.85517351857715</v>
      </c>
      <c r="AJ80" s="222">
        <v>5475</v>
      </c>
      <c r="AK80" s="225">
        <f>IF($C80&gt;=Wirtschaftlichkeit!$J$8,Wirtschaftlichkeit!$J$8,IF(AND($C80&lt;=Wirtschaftlichkeit!$J$8,$C80&gt;=Wirtschaftlichkeit!$J$8*Eingabemaske!$B$18),$C80,"0"))</f>
        <v>7.2967499999999994</v>
      </c>
      <c r="AL80" s="222">
        <v>5475</v>
      </c>
      <c r="AM80" s="224">
        <f t="shared" si="74"/>
        <v>530.16943499999991</v>
      </c>
      <c r="AN80" s="222">
        <v>5475</v>
      </c>
      <c r="AO80" s="226">
        <f t="shared" si="75"/>
        <v>7.2967499999999994</v>
      </c>
      <c r="AP80" s="312">
        <v>5475</v>
      </c>
      <c r="AQ80" s="286">
        <f>AK80*Wirtschaftlichkeit!$J$5/Wirtschaftlichkeit!$J$7</f>
        <v>2.7698338076355635</v>
      </c>
      <c r="AR80" s="284">
        <f t="shared" si="76"/>
        <v>201.2514098520636</v>
      </c>
      <c r="AT80" s="222">
        <v>5475</v>
      </c>
      <c r="AU80" s="225">
        <f>IF($C80&gt;=Wirtschaftlichkeit!$K$8,Wirtschaftlichkeit!$K$8,IF(AND($C80&lt;=Wirtschaftlichkeit!$K$8,$C80&gt;=Wirtschaftlichkeit!$K$8*Eingabemaske!$B$18),$C80,"0"))</f>
        <v>7.2967499999999994</v>
      </c>
      <c r="AV80" s="222">
        <v>5475</v>
      </c>
      <c r="AW80" s="224">
        <f t="shared" si="77"/>
        <v>530.16943499999991</v>
      </c>
      <c r="AX80" s="222">
        <v>5475</v>
      </c>
      <c r="AY80" s="226">
        <f t="shared" si="78"/>
        <v>7.2967499999999994</v>
      </c>
      <c r="AZ80" s="312">
        <v>5475</v>
      </c>
      <c r="BA80" s="286">
        <f>AU80*Wirtschaftlichkeit!$K$5/Wirtschaftlichkeit!$K$7</f>
        <v>2.863913974793951</v>
      </c>
      <c r="BB80" s="284">
        <f t="shared" si="79"/>
        <v>208.08711466133735</v>
      </c>
      <c r="BD80" s="222">
        <v>5475</v>
      </c>
      <c r="BE80" s="225" t="str">
        <f>IF($C80&gt;=Wirtschaftlichkeit!$L$8,Wirtschaftlichkeit!$L$8,IF(AND($C80&lt;=Wirtschaftlichkeit!$L$8,$C80&gt;=Wirtschaftlichkeit!$L$8*Eingabemaske!$B$18),$C80,"0"))</f>
        <v>0</v>
      </c>
      <c r="BF80" s="222">
        <v>5475</v>
      </c>
      <c r="BG80" s="224">
        <f t="shared" si="80"/>
        <v>0</v>
      </c>
      <c r="BH80" s="222">
        <v>5475</v>
      </c>
      <c r="BI80" s="226" t="str">
        <f t="shared" si="81"/>
        <v xml:space="preserve"> </v>
      </c>
      <c r="BJ80" s="312">
        <v>5475</v>
      </c>
      <c r="BK80" s="286">
        <f>BE80*Wirtschaftlichkeit!$L$5/Wirtschaftlichkeit!$L$7</f>
        <v>0</v>
      </c>
      <c r="BL80" s="284">
        <f t="shared" si="82"/>
        <v>0</v>
      </c>
      <c r="BN80" s="222">
        <v>5475</v>
      </c>
      <c r="BO80" s="225" t="str">
        <f>IF($C80&gt;=Wirtschaftlichkeit!$M$8,Wirtschaftlichkeit!$M$8,IF(AND($C80&lt;=Wirtschaftlichkeit!$M$8,$C80&gt;=Wirtschaftlichkeit!$M$8*Eingabemaske!$B$18),$C80,"0"))</f>
        <v>0</v>
      </c>
      <c r="BP80" s="222">
        <v>5475</v>
      </c>
      <c r="BQ80" s="224">
        <f t="shared" si="83"/>
        <v>0</v>
      </c>
      <c r="BR80" s="222">
        <v>5475</v>
      </c>
      <c r="BS80" s="226" t="str">
        <f t="shared" si="84"/>
        <v xml:space="preserve"> </v>
      </c>
      <c r="BT80" s="312">
        <v>5475</v>
      </c>
      <c r="BU80" s="286">
        <f>BO80*Wirtschaftlichkeit!$M$5/Wirtschaftlichkeit!$M$7</f>
        <v>0</v>
      </c>
      <c r="BV80" s="284">
        <f t="shared" si="85"/>
        <v>0</v>
      </c>
      <c r="BX80" s="222">
        <v>5475</v>
      </c>
      <c r="BY80" s="225" t="str">
        <f>IF($C80&gt;=Wirtschaftlichkeit!$N$8,Wirtschaftlichkeit!$N$8,IF(AND($C80&lt;=Wirtschaftlichkeit!$N$8,$C80&gt;=Wirtschaftlichkeit!$N$8*Eingabemaske!$B$18),$C80,"0"))</f>
        <v>0</v>
      </c>
      <c r="BZ80" s="222">
        <v>5475</v>
      </c>
      <c r="CA80" s="224">
        <f t="shared" si="86"/>
        <v>0</v>
      </c>
      <c r="CB80" s="222">
        <v>5475</v>
      </c>
      <c r="CC80" s="226" t="str">
        <f t="shared" si="87"/>
        <v xml:space="preserve"> </v>
      </c>
      <c r="CD80" s="312">
        <v>5475</v>
      </c>
      <c r="CE80" s="286">
        <f>BY80*Wirtschaftlichkeit!$N$5/Wirtschaftlichkeit!$N$7</f>
        <v>0</v>
      </c>
      <c r="CF80" s="284">
        <f t="shared" si="88"/>
        <v>0</v>
      </c>
      <c r="CH80" s="222">
        <v>5475</v>
      </c>
      <c r="CI80" s="225" t="str">
        <f>IF($C80&gt;=Wirtschaftlichkeit!$O$8,Wirtschaftlichkeit!$O$8,IF(AND($C80&lt;=Wirtschaftlichkeit!$O$8,$C80&gt;=Wirtschaftlichkeit!$O$8*Eingabemaske!$B$18),$C80,"0"))</f>
        <v>0</v>
      </c>
      <c r="CJ80" s="222">
        <v>5475</v>
      </c>
      <c r="CK80" s="224">
        <f t="shared" si="89"/>
        <v>0</v>
      </c>
      <c r="CL80" s="222">
        <v>5475</v>
      </c>
      <c r="CM80" s="226" t="str">
        <f t="shared" si="90"/>
        <v xml:space="preserve"> </v>
      </c>
      <c r="CN80" s="312">
        <v>5475</v>
      </c>
      <c r="CO80" s="286">
        <f>CI80*Wirtschaftlichkeit!$O$5/Wirtschaftlichkeit!$O$7</f>
        <v>0</v>
      </c>
      <c r="CP80" s="284">
        <f t="shared" si="91"/>
        <v>0</v>
      </c>
      <c r="CR80" s="222">
        <v>5475</v>
      </c>
      <c r="CS80" s="225" t="str">
        <f>IF($C80&gt;=Wirtschaftlichkeit!$P$8,Wirtschaftlichkeit!$P$8,IF(AND($C80&lt;=Wirtschaftlichkeit!$P$8,$C80&gt;=Wirtschaftlichkeit!$P$8*Eingabemaske!$B$18),$C80,"0"))</f>
        <v>0</v>
      </c>
      <c r="CT80" s="222">
        <v>5475</v>
      </c>
      <c r="CU80" s="224">
        <f t="shared" si="92"/>
        <v>0</v>
      </c>
      <c r="CV80" s="222">
        <v>5475</v>
      </c>
      <c r="CW80" s="226" t="str">
        <f t="shared" si="93"/>
        <v xml:space="preserve"> </v>
      </c>
      <c r="CX80" s="312">
        <v>5475</v>
      </c>
      <c r="CY80" s="286">
        <f>CS80*Wirtschaftlichkeit!$P$5/Wirtschaftlichkeit!$P$7</f>
        <v>0</v>
      </c>
      <c r="CZ80" s="284">
        <f t="shared" si="94"/>
        <v>0</v>
      </c>
      <c r="DB80" s="222">
        <v>5475</v>
      </c>
      <c r="DC80" s="225" t="str">
        <f>IF($C80&gt;=Wirtschaftlichkeit!$Q$8,Wirtschaftlichkeit!$Q$8,IF(AND($C80&lt;=Wirtschaftlichkeit!$Q$8,$C80&gt;=Wirtschaftlichkeit!$Q$8*Eingabemaske!$B$18),$C80,"0"))</f>
        <v>0</v>
      </c>
      <c r="DD80" s="222">
        <v>5475</v>
      </c>
      <c r="DE80" s="224">
        <f t="shared" si="95"/>
        <v>0</v>
      </c>
      <c r="DF80" s="222">
        <v>5475</v>
      </c>
      <c r="DG80" s="226" t="str">
        <f t="shared" si="96"/>
        <v xml:space="preserve"> </v>
      </c>
      <c r="DH80" s="312">
        <v>5475</v>
      </c>
      <c r="DI80" s="286">
        <f>DC80*Wirtschaftlichkeit!$Q$5/Wirtschaftlichkeit!$Q$7</f>
        <v>0</v>
      </c>
      <c r="DJ80" s="284">
        <f t="shared" si="97"/>
        <v>0</v>
      </c>
      <c r="DL80" s="222">
        <v>5475</v>
      </c>
      <c r="DM80" s="225" t="str">
        <f>IF($C80&gt;=Wirtschaftlichkeit!$R$8,Wirtschaftlichkeit!$R$8,IF(AND($C80&lt;=Wirtschaftlichkeit!$R$8,$C80&gt;=Wirtschaftlichkeit!$R$8*Eingabemaske!$B$18),$C80,"0"))</f>
        <v>0</v>
      </c>
      <c r="DN80" s="222">
        <v>5475</v>
      </c>
      <c r="DO80" s="224">
        <f t="shared" si="98"/>
        <v>0</v>
      </c>
      <c r="DP80" s="222">
        <v>5475</v>
      </c>
      <c r="DQ80" s="226" t="str">
        <f t="shared" si="99"/>
        <v xml:space="preserve"> </v>
      </c>
      <c r="DR80" s="312">
        <v>5475</v>
      </c>
      <c r="DS80" s="286">
        <f>DM80*Wirtschaftlichkeit!$R$5/Wirtschaftlichkeit!$R$7</f>
        <v>0</v>
      </c>
      <c r="DT80" s="284">
        <f t="shared" si="100"/>
        <v>0</v>
      </c>
      <c r="DV80" s="222">
        <v>5475</v>
      </c>
      <c r="DW80" s="225" t="str">
        <f>IF($C80&gt;=Wirtschaftlichkeit!$S$8,Wirtschaftlichkeit!$S$8,IF(AND($C80&lt;=Wirtschaftlichkeit!$S$8,$C80&gt;=Wirtschaftlichkeit!$S$8*Eingabemaske!$B$18),$C80,"0"))</f>
        <v>0</v>
      </c>
      <c r="DX80" s="222">
        <v>5475</v>
      </c>
      <c r="DY80" s="224">
        <f t="shared" si="101"/>
        <v>0</v>
      </c>
      <c r="DZ80" s="222">
        <v>5475</v>
      </c>
      <c r="EA80" s="226" t="str">
        <f t="shared" si="102"/>
        <v xml:space="preserve"> </v>
      </c>
      <c r="EB80" s="312">
        <v>5475</v>
      </c>
      <c r="EC80" s="286">
        <f>DW80*Wirtschaftlichkeit!$S$5/Wirtschaftlichkeit!$S$7</f>
        <v>0</v>
      </c>
      <c r="ED80" s="284">
        <f t="shared" si="103"/>
        <v>0</v>
      </c>
      <c r="EF80" s="222">
        <v>5475</v>
      </c>
      <c r="EG80" s="225" t="str">
        <f>IF($C80&gt;=Wirtschaftlichkeit!$T$8,Wirtschaftlichkeit!$T$8,IF(AND($C80&lt;=Wirtschaftlichkeit!$T$8,$C80&gt;=Wirtschaftlichkeit!$T$8*Eingabemaske!$B$18),$C80,"0"))</f>
        <v>0</v>
      </c>
      <c r="EH80" s="222">
        <v>5475</v>
      </c>
      <c r="EI80" s="224">
        <f t="shared" si="104"/>
        <v>0</v>
      </c>
      <c r="EJ80" s="222">
        <v>5475</v>
      </c>
      <c r="EK80" s="226" t="str">
        <f t="shared" si="105"/>
        <v xml:space="preserve"> </v>
      </c>
      <c r="EL80" s="312">
        <v>5475</v>
      </c>
      <c r="EM80" s="286">
        <f>EG80*Wirtschaftlichkeit!$T$5/Wirtschaftlichkeit!$T$7</f>
        <v>0</v>
      </c>
      <c r="EN80" s="284">
        <f t="shared" si="106"/>
        <v>0</v>
      </c>
      <c r="EP80" s="222">
        <v>5475</v>
      </c>
      <c r="EQ80" s="225" t="str">
        <f>IF($C80&gt;=Wirtschaftlichkeit!$U$8,Wirtschaftlichkeit!$U$8,IF(AND($C80&lt;=Wirtschaftlichkeit!$U$8,$C80&gt;=Wirtschaftlichkeit!$U$8*Eingabemaske!$B$18),$C80,"0"))</f>
        <v>0</v>
      </c>
      <c r="ER80" s="222">
        <v>5475</v>
      </c>
      <c r="ES80" s="224">
        <f t="shared" si="107"/>
        <v>0</v>
      </c>
      <c r="ET80" s="222">
        <v>5475</v>
      </c>
      <c r="EU80" s="226" t="str">
        <f t="shared" si="108"/>
        <v xml:space="preserve"> </v>
      </c>
      <c r="EV80" s="312">
        <v>5475</v>
      </c>
      <c r="EW80" s="286">
        <f>EQ80*Wirtschaftlichkeit!$U$5/Wirtschaftlichkeit!$U$7</f>
        <v>0</v>
      </c>
      <c r="EX80" s="284">
        <f t="shared" si="109"/>
        <v>0</v>
      </c>
      <c r="EZ80" s="222">
        <v>5475</v>
      </c>
      <c r="FA80" s="225" t="str">
        <f>IF($C80&gt;=Wirtschaftlichkeit!$V$8,Wirtschaftlichkeit!$V$8,IF(AND($C80&lt;=Wirtschaftlichkeit!$V$8,$C80&gt;=Wirtschaftlichkeit!$V$8*Eingabemaske!$B$18),$C80,"0"))</f>
        <v>0</v>
      </c>
      <c r="FB80" s="222">
        <v>5475</v>
      </c>
      <c r="FC80" s="224">
        <f t="shared" si="110"/>
        <v>0</v>
      </c>
      <c r="FD80" s="222">
        <v>5475</v>
      </c>
      <c r="FE80" s="226" t="str">
        <f t="shared" si="111"/>
        <v xml:space="preserve"> </v>
      </c>
      <c r="FF80" s="312">
        <v>5475</v>
      </c>
      <c r="FG80" s="286">
        <f>FA80*Wirtschaftlichkeit!$V$5/Wirtschaftlichkeit!$V$7</f>
        <v>0</v>
      </c>
      <c r="FH80" s="284">
        <f t="shared" si="112"/>
        <v>0</v>
      </c>
      <c r="FJ80" s="222">
        <v>5475</v>
      </c>
      <c r="FK80" s="225" t="str">
        <f>IF($C80&gt;=Wirtschaftlichkeit!$W$8,Wirtschaftlichkeit!$W$8,IF(AND($C80&lt;=Wirtschaftlichkeit!$W$8,$C80&gt;=Wirtschaftlichkeit!$W$8*Eingabemaske!$B$18),$C80,"0"))</f>
        <v>0</v>
      </c>
      <c r="FL80" s="222">
        <v>5475</v>
      </c>
      <c r="FM80" s="224">
        <f t="shared" si="113"/>
        <v>0</v>
      </c>
      <c r="FN80" s="222">
        <v>5475</v>
      </c>
      <c r="FO80" s="226" t="str">
        <f t="shared" si="114"/>
        <v xml:space="preserve"> </v>
      </c>
      <c r="FP80" s="312">
        <v>5475</v>
      </c>
      <c r="FQ80" s="286">
        <f>FK80*Wirtschaftlichkeit!$W$5/Wirtschaftlichkeit!$W$7</f>
        <v>0</v>
      </c>
      <c r="FR80" s="284">
        <f t="shared" si="115"/>
        <v>0</v>
      </c>
      <c r="FT80" s="222">
        <v>5475</v>
      </c>
      <c r="FU80" s="225" t="str">
        <f>IF($C80&gt;=Wirtschaftlichkeit!$X$8,Wirtschaftlichkeit!$X$8,IF(AND($C80&lt;=Wirtschaftlichkeit!$X$8,$C80&gt;=Wirtschaftlichkeit!$X$8*Eingabemaske!$B$18),$C80,"0"))</f>
        <v>0</v>
      </c>
      <c r="FV80" s="222">
        <v>5475</v>
      </c>
      <c r="FW80" s="224">
        <f t="shared" si="116"/>
        <v>0</v>
      </c>
      <c r="FX80" s="222">
        <v>5475</v>
      </c>
      <c r="FY80" s="226" t="str">
        <f t="shared" si="117"/>
        <v xml:space="preserve"> </v>
      </c>
      <c r="FZ80" s="312">
        <v>5475</v>
      </c>
      <c r="GA80" s="286">
        <f>FU80*Wirtschaftlichkeit!$X$5/Wirtschaftlichkeit!$X$7</f>
        <v>0</v>
      </c>
      <c r="GB80" s="284">
        <f t="shared" si="118"/>
        <v>0</v>
      </c>
      <c r="GD80" s="222">
        <v>5475</v>
      </c>
      <c r="GE80" s="225" t="str">
        <f>IF($C80&gt;=Wirtschaftlichkeit!$Y$8,Wirtschaftlichkeit!$Y$8,IF(AND($C80&lt;=Wirtschaftlichkeit!$Y$8,$C80&gt;=Wirtschaftlichkeit!$Y$8*Eingabemaske!$B$18),$C80,"0"))</f>
        <v>0</v>
      </c>
      <c r="GF80" s="222">
        <v>5475</v>
      </c>
      <c r="GG80" s="224">
        <f t="shared" si="119"/>
        <v>0</v>
      </c>
      <c r="GH80" s="222">
        <v>5475</v>
      </c>
      <c r="GI80" s="226" t="str">
        <f t="shared" si="120"/>
        <v xml:space="preserve"> </v>
      </c>
      <c r="GJ80" s="312">
        <v>5475</v>
      </c>
      <c r="GK80" s="286">
        <f>GE80*Wirtschaftlichkeit!$Y$5/Wirtschaftlichkeit!$Y$7</f>
        <v>0</v>
      </c>
      <c r="GL80" s="284">
        <f t="shared" si="121"/>
        <v>0</v>
      </c>
      <c r="GN80" s="222">
        <v>5475</v>
      </c>
      <c r="GO80" s="225" t="str">
        <f>IF($C80&gt;=Wirtschaftlichkeit!$Z$8,Wirtschaftlichkeit!$Z$8,IF(AND($C80&lt;=Wirtschaftlichkeit!$Z$8,$C80&gt;=Wirtschaftlichkeit!$Z$8*Eingabemaske!$B$18),$C80,"0"))</f>
        <v>0</v>
      </c>
      <c r="GP80" s="222">
        <v>5475</v>
      </c>
      <c r="GQ80" s="224">
        <f t="shared" si="122"/>
        <v>0</v>
      </c>
      <c r="GR80" s="222">
        <v>5475</v>
      </c>
      <c r="GS80" s="226" t="str">
        <f t="shared" si="123"/>
        <v xml:space="preserve"> </v>
      </c>
      <c r="GT80" s="312">
        <v>5475</v>
      </c>
      <c r="GU80" s="286">
        <f>GO80*Wirtschaftlichkeit!$Z$5/Wirtschaftlichkeit!$Z$7</f>
        <v>0</v>
      </c>
      <c r="GV80" s="284">
        <f t="shared" si="124"/>
        <v>0</v>
      </c>
      <c r="GW80" s="266"/>
      <c r="GX80" s="258">
        <v>5475</v>
      </c>
      <c r="GY80" s="270" t="str">
        <f>IF(Berechnung_Diagramme!$C$28=Berechnungen_Lastgang!$F$2,Berechnungen_Lastgang!G80,IF(Berechnung_Diagramme!$C$28=Berechnungen_Lastgang!$P$2,Berechnungen_Lastgang!Q80,IF(Berechnung_Diagramme!$C$28=Berechnungen_Lastgang!$Z$2,Berechnungen_Lastgang!AA80,IF(Berechnung_Diagramme!$C$28=Berechnungen_Lastgang!$AJ$2,Berechnungen_Lastgang!AK80,IF(Berechnung_Diagramme!$C$28=Berechnungen_Lastgang!$AT$2,Berechnungen_Lastgang!AU80,IF(Berechnung_Diagramme!$C$28=Berechnungen_Lastgang!$BD$2,Berechnungen_Lastgang!BE80,IF(Berechnung_Diagramme!$C$28=Berechnungen_Lastgang!$BN$2,Berechnungen_Lastgang!BO80,IF(Berechnung_Diagramme!$C$28=Berechnungen_Lastgang!$BX$2,Berechnungen_Lastgang!BY80,IF(Berechnung_Diagramme!$C$28=Berechnungen_Lastgang!$CH$2,Berechnungen_Lastgang!CI80,IF(Berechnung_Diagramme!$C$28=Berechnungen_Lastgang!$CR$2,Berechnungen_Lastgang!CS80,IF(Berechnung_Diagramme!$C$28=Berechnungen_Lastgang!$DB$2,Berechnungen_Lastgang!DC80,IF(Berechnung_Diagramme!$C$28=Berechnungen_Lastgang!$DL$2,Berechnungen_Lastgang!DM80,IF(Berechnung_Diagramme!$C$28=Berechnungen_Lastgang!$DV$2,Berechnungen_Lastgang!DW80,IF(Berechnung_Diagramme!$C$28=Berechnungen_Lastgang!$EF$2,Berechnungen_Lastgang!EG80,IF(Berechnung_Diagramme!$C$28=Berechnungen_Lastgang!$EP$2,Berechnungen_Lastgang!EQ80,IF(Berechnung_Diagramme!$C$28=Berechnungen_Lastgang!$EZ$2,Berechnungen_Lastgang!FA80,IF(Berechnung_Diagramme!$C$28=Berechnungen_Lastgang!$FJ$2,Berechnungen_Lastgang!FK80,IF(Berechnung_Diagramme!$C$28=Berechnungen_Lastgang!$FT$2,Berechnungen_Lastgang!FU80,IF(Berechnung_Diagramme!$C$28=Berechnungen_Lastgang!$GD$2,Berechnungen_Lastgang!GE80,IF(Berechnung_Diagramme!$C$28=Berechnungen_Lastgang!$GN$2,Berechnungen_Lastgang!GO80,""))))))))))))))))))))</f>
        <v>0</v>
      </c>
    </row>
    <row r="81" spans="2:207" x14ac:dyDescent="0.25">
      <c r="B81" s="64">
        <v>5548</v>
      </c>
      <c r="C81" s="67">
        <f>C80+((C85-C80)/(B85-B80))*(B81-B80)</f>
        <v>7.2284399999999991</v>
      </c>
      <c r="D81" s="66">
        <f t="shared" si="64"/>
        <v>525.18280499999992</v>
      </c>
      <c r="F81" s="64">
        <v>5548</v>
      </c>
      <c r="G81" s="225">
        <f>IF($C81&gt;=Wirtschaftlichkeit!$G$8,Wirtschaftlichkeit!$G$8,IF(AND($C81&lt;=Wirtschaftlichkeit!$G$8,$C81&gt;=Wirtschaftlichkeit!$G$8*Eingabemaske!$B$18),$C81,"0"))</f>
        <v>2.8333333333333335</v>
      </c>
      <c r="H81" s="64">
        <v>5548</v>
      </c>
      <c r="I81" s="66">
        <f t="shared" si="65"/>
        <v>206.83333333333334</v>
      </c>
      <c r="J81" s="64">
        <v>5548</v>
      </c>
      <c r="K81" s="71">
        <f t="shared" si="66"/>
        <v>2.8333333333333335</v>
      </c>
      <c r="L81" s="312">
        <v>5548</v>
      </c>
      <c r="M81" s="286">
        <f>G81*Wirtschaftlichkeit!$G$5/Wirtschaftlichkeit!$G$7</f>
        <v>1</v>
      </c>
      <c r="N81" s="284">
        <f t="shared" si="67"/>
        <v>73</v>
      </c>
      <c r="P81" s="222">
        <v>5548</v>
      </c>
      <c r="Q81" s="225">
        <f>IF($C81&gt;=Wirtschaftlichkeit!$H$8,Wirtschaftlichkeit!$H$8,IF(AND($C81&lt;=Wirtschaftlichkeit!$H$8,$C81&gt;=Wirtschaftlichkeit!$H$8*Eingabemaske!$B$18),$C81,"0"))</f>
        <v>5.5876288659793811</v>
      </c>
      <c r="R81" s="222">
        <v>5548</v>
      </c>
      <c r="S81" s="224">
        <f t="shared" si="68"/>
        <v>407.89690721649481</v>
      </c>
      <c r="T81" s="222">
        <v>5548</v>
      </c>
      <c r="U81" s="226">
        <f t="shared" si="69"/>
        <v>5.5876288659793811</v>
      </c>
      <c r="V81" s="312">
        <v>5548</v>
      </c>
      <c r="W81" s="286">
        <f>Q81*Wirtschaftlichkeit!$H$5/Wirtschaftlichkeit!$H$7</f>
        <v>2</v>
      </c>
      <c r="X81" s="284">
        <f t="shared" si="70"/>
        <v>146</v>
      </c>
      <c r="Z81" s="222">
        <v>5548</v>
      </c>
      <c r="AA81" s="225">
        <f>IF($C81&gt;=Wirtschaftlichkeit!$I$8,Wirtschaftlichkeit!$I$8,IF(AND($C81&lt;=Wirtschaftlichkeit!$I$8,$C81&gt;=Wirtschaftlichkeit!$I$8*Eingabemaske!$B$18),$C81,"0"))</f>
        <v>7.2284399999999991</v>
      </c>
      <c r="AB81" s="222">
        <v>5548</v>
      </c>
      <c r="AC81" s="224">
        <f t="shared" si="71"/>
        <v>525.18280499999992</v>
      </c>
      <c r="AD81" s="222">
        <v>5548</v>
      </c>
      <c r="AE81" s="226">
        <f t="shared" si="72"/>
        <v>7.2284399999999991</v>
      </c>
      <c r="AF81" s="312">
        <v>5548</v>
      </c>
      <c r="AG81" s="286">
        <f>AA81*Wirtschaftlichkeit!$I$5/Wirtschaftlichkeit!$I$7</f>
        <v>2.6294274215725464</v>
      </c>
      <c r="AH81" s="284">
        <f t="shared" si="73"/>
        <v>191.04123003101461</v>
      </c>
      <c r="AJ81" s="222">
        <v>5548</v>
      </c>
      <c r="AK81" s="225">
        <f>IF($C81&gt;=Wirtschaftlichkeit!$J$8,Wirtschaftlichkeit!$J$8,IF(AND($C81&lt;=Wirtschaftlichkeit!$J$8,$C81&gt;=Wirtschaftlichkeit!$J$8*Eingabemaske!$B$18),$C81,"0"))</f>
        <v>7.2284399999999991</v>
      </c>
      <c r="AL81" s="222">
        <v>5548</v>
      </c>
      <c r="AM81" s="224">
        <f t="shared" si="74"/>
        <v>525.18280499999992</v>
      </c>
      <c r="AN81" s="222">
        <v>5548</v>
      </c>
      <c r="AO81" s="226">
        <f t="shared" si="75"/>
        <v>7.2284399999999991</v>
      </c>
      <c r="AP81" s="312">
        <v>5548</v>
      </c>
      <c r="AQ81" s="286">
        <f>AK81*Wirtschaftlichkeit!$J$5/Wirtschaftlichkeit!$J$7</f>
        <v>2.7439034485853577</v>
      </c>
      <c r="AR81" s="284">
        <f t="shared" si="76"/>
        <v>199.35849364139861</v>
      </c>
      <c r="AT81" s="222">
        <v>5548</v>
      </c>
      <c r="AU81" s="225">
        <f>IF($C81&gt;=Wirtschaftlichkeit!$K$8,Wirtschaftlichkeit!$K$8,IF(AND($C81&lt;=Wirtschaftlichkeit!$K$8,$C81&gt;=Wirtschaftlichkeit!$K$8*Eingabemaske!$B$18),$C81,"0"))</f>
        <v>7.2284399999999991</v>
      </c>
      <c r="AV81" s="222">
        <v>5548</v>
      </c>
      <c r="AW81" s="224">
        <f t="shared" si="77"/>
        <v>525.18280499999992</v>
      </c>
      <c r="AX81" s="222">
        <v>5548</v>
      </c>
      <c r="AY81" s="226">
        <f t="shared" si="78"/>
        <v>7.2284399999999991</v>
      </c>
      <c r="AZ81" s="312">
        <v>5548</v>
      </c>
      <c r="BA81" s="286">
        <f>AU81*Wirtschaftlichkeit!$K$5/Wirtschaftlichkeit!$K$7</f>
        <v>2.8371028652426884</v>
      </c>
      <c r="BB81" s="284">
        <f t="shared" si="79"/>
        <v>206.12990366409517</v>
      </c>
      <c r="BD81" s="222">
        <v>5548</v>
      </c>
      <c r="BE81" s="225" t="str">
        <f>IF($C81&gt;=Wirtschaftlichkeit!$L$8,Wirtschaftlichkeit!$L$8,IF(AND($C81&lt;=Wirtschaftlichkeit!$L$8,$C81&gt;=Wirtschaftlichkeit!$L$8*Eingabemaske!$B$18),$C81,"0"))</f>
        <v>0</v>
      </c>
      <c r="BF81" s="222">
        <v>5548</v>
      </c>
      <c r="BG81" s="224">
        <f t="shared" si="80"/>
        <v>0</v>
      </c>
      <c r="BH81" s="222">
        <v>5548</v>
      </c>
      <c r="BI81" s="226" t="str">
        <f t="shared" si="81"/>
        <v xml:space="preserve"> </v>
      </c>
      <c r="BJ81" s="312">
        <v>5548</v>
      </c>
      <c r="BK81" s="286">
        <f>BE81*Wirtschaftlichkeit!$L$5/Wirtschaftlichkeit!$L$7</f>
        <v>0</v>
      </c>
      <c r="BL81" s="284">
        <f t="shared" si="82"/>
        <v>0</v>
      </c>
      <c r="BN81" s="222">
        <v>5548</v>
      </c>
      <c r="BO81" s="225" t="str">
        <f>IF($C81&gt;=Wirtschaftlichkeit!$M$8,Wirtschaftlichkeit!$M$8,IF(AND($C81&lt;=Wirtschaftlichkeit!$M$8,$C81&gt;=Wirtschaftlichkeit!$M$8*Eingabemaske!$B$18),$C81,"0"))</f>
        <v>0</v>
      </c>
      <c r="BP81" s="222">
        <v>5548</v>
      </c>
      <c r="BQ81" s="224">
        <f t="shared" si="83"/>
        <v>0</v>
      </c>
      <c r="BR81" s="222">
        <v>5548</v>
      </c>
      <c r="BS81" s="226" t="str">
        <f t="shared" si="84"/>
        <v xml:space="preserve"> </v>
      </c>
      <c r="BT81" s="312">
        <v>5548</v>
      </c>
      <c r="BU81" s="286">
        <f>BO81*Wirtschaftlichkeit!$M$5/Wirtschaftlichkeit!$M$7</f>
        <v>0</v>
      </c>
      <c r="BV81" s="284">
        <f t="shared" si="85"/>
        <v>0</v>
      </c>
      <c r="BX81" s="222">
        <v>5548</v>
      </c>
      <c r="BY81" s="225" t="str">
        <f>IF($C81&gt;=Wirtschaftlichkeit!$N$8,Wirtschaftlichkeit!$N$8,IF(AND($C81&lt;=Wirtschaftlichkeit!$N$8,$C81&gt;=Wirtschaftlichkeit!$N$8*Eingabemaske!$B$18),$C81,"0"))</f>
        <v>0</v>
      </c>
      <c r="BZ81" s="222">
        <v>5548</v>
      </c>
      <c r="CA81" s="224">
        <f t="shared" si="86"/>
        <v>0</v>
      </c>
      <c r="CB81" s="222">
        <v>5548</v>
      </c>
      <c r="CC81" s="226" t="str">
        <f t="shared" si="87"/>
        <v xml:space="preserve"> </v>
      </c>
      <c r="CD81" s="312">
        <v>5548</v>
      </c>
      <c r="CE81" s="286">
        <f>BY81*Wirtschaftlichkeit!$N$5/Wirtschaftlichkeit!$N$7</f>
        <v>0</v>
      </c>
      <c r="CF81" s="284">
        <f t="shared" si="88"/>
        <v>0</v>
      </c>
      <c r="CH81" s="222">
        <v>5548</v>
      </c>
      <c r="CI81" s="225" t="str">
        <f>IF($C81&gt;=Wirtschaftlichkeit!$O$8,Wirtschaftlichkeit!$O$8,IF(AND($C81&lt;=Wirtschaftlichkeit!$O$8,$C81&gt;=Wirtschaftlichkeit!$O$8*Eingabemaske!$B$18),$C81,"0"))</f>
        <v>0</v>
      </c>
      <c r="CJ81" s="222">
        <v>5548</v>
      </c>
      <c r="CK81" s="224">
        <f t="shared" si="89"/>
        <v>0</v>
      </c>
      <c r="CL81" s="222">
        <v>5548</v>
      </c>
      <c r="CM81" s="226" t="str">
        <f t="shared" si="90"/>
        <v xml:space="preserve"> </v>
      </c>
      <c r="CN81" s="312">
        <v>5548</v>
      </c>
      <c r="CO81" s="286">
        <f>CI81*Wirtschaftlichkeit!$O$5/Wirtschaftlichkeit!$O$7</f>
        <v>0</v>
      </c>
      <c r="CP81" s="284">
        <f t="shared" si="91"/>
        <v>0</v>
      </c>
      <c r="CR81" s="222">
        <v>5548</v>
      </c>
      <c r="CS81" s="225" t="str">
        <f>IF($C81&gt;=Wirtschaftlichkeit!$P$8,Wirtschaftlichkeit!$P$8,IF(AND($C81&lt;=Wirtschaftlichkeit!$P$8,$C81&gt;=Wirtschaftlichkeit!$P$8*Eingabemaske!$B$18),$C81,"0"))</f>
        <v>0</v>
      </c>
      <c r="CT81" s="222">
        <v>5548</v>
      </c>
      <c r="CU81" s="224">
        <f t="shared" si="92"/>
        <v>0</v>
      </c>
      <c r="CV81" s="222">
        <v>5548</v>
      </c>
      <c r="CW81" s="226" t="str">
        <f t="shared" si="93"/>
        <v xml:space="preserve"> </v>
      </c>
      <c r="CX81" s="312">
        <v>5548</v>
      </c>
      <c r="CY81" s="286">
        <f>CS81*Wirtschaftlichkeit!$P$5/Wirtschaftlichkeit!$P$7</f>
        <v>0</v>
      </c>
      <c r="CZ81" s="284">
        <f t="shared" si="94"/>
        <v>0</v>
      </c>
      <c r="DB81" s="222">
        <v>5548</v>
      </c>
      <c r="DC81" s="225" t="str">
        <f>IF($C81&gt;=Wirtschaftlichkeit!$Q$8,Wirtschaftlichkeit!$Q$8,IF(AND($C81&lt;=Wirtschaftlichkeit!$Q$8,$C81&gt;=Wirtschaftlichkeit!$Q$8*Eingabemaske!$B$18),$C81,"0"))</f>
        <v>0</v>
      </c>
      <c r="DD81" s="222">
        <v>5548</v>
      </c>
      <c r="DE81" s="224">
        <f t="shared" si="95"/>
        <v>0</v>
      </c>
      <c r="DF81" s="222">
        <v>5548</v>
      </c>
      <c r="DG81" s="226" t="str">
        <f t="shared" si="96"/>
        <v xml:space="preserve"> </v>
      </c>
      <c r="DH81" s="312">
        <v>5548</v>
      </c>
      <c r="DI81" s="286">
        <f>DC81*Wirtschaftlichkeit!$Q$5/Wirtschaftlichkeit!$Q$7</f>
        <v>0</v>
      </c>
      <c r="DJ81" s="284">
        <f t="shared" si="97"/>
        <v>0</v>
      </c>
      <c r="DL81" s="222">
        <v>5548</v>
      </c>
      <c r="DM81" s="225" t="str">
        <f>IF($C81&gt;=Wirtschaftlichkeit!$R$8,Wirtschaftlichkeit!$R$8,IF(AND($C81&lt;=Wirtschaftlichkeit!$R$8,$C81&gt;=Wirtschaftlichkeit!$R$8*Eingabemaske!$B$18),$C81,"0"))</f>
        <v>0</v>
      </c>
      <c r="DN81" s="222">
        <v>5548</v>
      </c>
      <c r="DO81" s="224">
        <f t="shared" si="98"/>
        <v>0</v>
      </c>
      <c r="DP81" s="222">
        <v>5548</v>
      </c>
      <c r="DQ81" s="226" t="str">
        <f t="shared" si="99"/>
        <v xml:space="preserve"> </v>
      </c>
      <c r="DR81" s="312">
        <v>5548</v>
      </c>
      <c r="DS81" s="286">
        <f>DM81*Wirtschaftlichkeit!$R$5/Wirtschaftlichkeit!$R$7</f>
        <v>0</v>
      </c>
      <c r="DT81" s="284">
        <f t="shared" si="100"/>
        <v>0</v>
      </c>
      <c r="DV81" s="222">
        <v>5548</v>
      </c>
      <c r="DW81" s="225" t="str">
        <f>IF($C81&gt;=Wirtschaftlichkeit!$S$8,Wirtschaftlichkeit!$S$8,IF(AND($C81&lt;=Wirtschaftlichkeit!$S$8,$C81&gt;=Wirtschaftlichkeit!$S$8*Eingabemaske!$B$18),$C81,"0"))</f>
        <v>0</v>
      </c>
      <c r="DX81" s="222">
        <v>5548</v>
      </c>
      <c r="DY81" s="224">
        <f t="shared" si="101"/>
        <v>0</v>
      </c>
      <c r="DZ81" s="222">
        <v>5548</v>
      </c>
      <c r="EA81" s="226" t="str">
        <f t="shared" si="102"/>
        <v xml:space="preserve"> </v>
      </c>
      <c r="EB81" s="312">
        <v>5548</v>
      </c>
      <c r="EC81" s="286">
        <f>DW81*Wirtschaftlichkeit!$S$5/Wirtschaftlichkeit!$S$7</f>
        <v>0</v>
      </c>
      <c r="ED81" s="284">
        <f t="shared" si="103"/>
        <v>0</v>
      </c>
      <c r="EF81" s="222">
        <v>5548</v>
      </c>
      <c r="EG81" s="225" t="str">
        <f>IF($C81&gt;=Wirtschaftlichkeit!$T$8,Wirtschaftlichkeit!$T$8,IF(AND($C81&lt;=Wirtschaftlichkeit!$T$8,$C81&gt;=Wirtschaftlichkeit!$T$8*Eingabemaske!$B$18),$C81,"0"))</f>
        <v>0</v>
      </c>
      <c r="EH81" s="222">
        <v>5548</v>
      </c>
      <c r="EI81" s="224">
        <f t="shared" si="104"/>
        <v>0</v>
      </c>
      <c r="EJ81" s="222">
        <v>5548</v>
      </c>
      <c r="EK81" s="226" t="str">
        <f t="shared" si="105"/>
        <v xml:space="preserve"> </v>
      </c>
      <c r="EL81" s="312">
        <v>5548</v>
      </c>
      <c r="EM81" s="286">
        <f>EG81*Wirtschaftlichkeit!$T$5/Wirtschaftlichkeit!$T$7</f>
        <v>0</v>
      </c>
      <c r="EN81" s="284">
        <f t="shared" si="106"/>
        <v>0</v>
      </c>
      <c r="EP81" s="222">
        <v>5548</v>
      </c>
      <c r="EQ81" s="225" t="str">
        <f>IF($C81&gt;=Wirtschaftlichkeit!$U$8,Wirtschaftlichkeit!$U$8,IF(AND($C81&lt;=Wirtschaftlichkeit!$U$8,$C81&gt;=Wirtschaftlichkeit!$U$8*Eingabemaske!$B$18),$C81,"0"))</f>
        <v>0</v>
      </c>
      <c r="ER81" s="222">
        <v>5548</v>
      </c>
      <c r="ES81" s="224">
        <f t="shared" si="107"/>
        <v>0</v>
      </c>
      <c r="ET81" s="222">
        <v>5548</v>
      </c>
      <c r="EU81" s="226" t="str">
        <f t="shared" si="108"/>
        <v xml:space="preserve"> </v>
      </c>
      <c r="EV81" s="312">
        <v>5548</v>
      </c>
      <c r="EW81" s="286">
        <f>EQ81*Wirtschaftlichkeit!$U$5/Wirtschaftlichkeit!$U$7</f>
        <v>0</v>
      </c>
      <c r="EX81" s="284">
        <f t="shared" si="109"/>
        <v>0</v>
      </c>
      <c r="EZ81" s="222">
        <v>5548</v>
      </c>
      <c r="FA81" s="225" t="str">
        <f>IF($C81&gt;=Wirtschaftlichkeit!$V$8,Wirtschaftlichkeit!$V$8,IF(AND($C81&lt;=Wirtschaftlichkeit!$V$8,$C81&gt;=Wirtschaftlichkeit!$V$8*Eingabemaske!$B$18),$C81,"0"))</f>
        <v>0</v>
      </c>
      <c r="FB81" s="222">
        <v>5548</v>
      </c>
      <c r="FC81" s="224">
        <f t="shared" si="110"/>
        <v>0</v>
      </c>
      <c r="FD81" s="222">
        <v>5548</v>
      </c>
      <c r="FE81" s="226" t="str">
        <f t="shared" si="111"/>
        <v xml:space="preserve"> </v>
      </c>
      <c r="FF81" s="312">
        <v>5548</v>
      </c>
      <c r="FG81" s="286">
        <f>FA81*Wirtschaftlichkeit!$V$5/Wirtschaftlichkeit!$V$7</f>
        <v>0</v>
      </c>
      <c r="FH81" s="284">
        <f t="shared" si="112"/>
        <v>0</v>
      </c>
      <c r="FJ81" s="222">
        <v>5548</v>
      </c>
      <c r="FK81" s="225" t="str">
        <f>IF($C81&gt;=Wirtschaftlichkeit!$W$8,Wirtschaftlichkeit!$W$8,IF(AND($C81&lt;=Wirtschaftlichkeit!$W$8,$C81&gt;=Wirtschaftlichkeit!$W$8*Eingabemaske!$B$18),$C81,"0"))</f>
        <v>0</v>
      </c>
      <c r="FL81" s="222">
        <v>5548</v>
      </c>
      <c r="FM81" s="224">
        <f t="shared" si="113"/>
        <v>0</v>
      </c>
      <c r="FN81" s="222">
        <v>5548</v>
      </c>
      <c r="FO81" s="226" t="str">
        <f t="shared" si="114"/>
        <v xml:space="preserve"> </v>
      </c>
      <c r="FP81" s="312">
        <v>5548</v>
      </c>
      <c r="FQ81" s="286">
        <f>FK81*Wirtschaftlichkeit!$W$5/Wirtschaftlichkeit!$W$7</f>
        <v>0</v>
      </c>
      <c r="FR81" s="284">
        <f t="shared" si="115"/>
        <v>0</v>
      </c>
      <c r="FT81" s="222">
        <v>5548</v>
      </c>
      <c r="FU81" s="225" t="str">
        <f>IF($C81&gt;=Wirtschaftlichkeit!$X$8,Wirtschaftlichkeit!$X$8,IF(AND($C81&lt;=Wirtschaftlichkeit!$X$8,$C81&gt;=Wirtschaftlichkeit!$X$8*Eingabemaske!$B$18),$C81,"0"))</f>
        <v>0</v>
      </c>
      <c r="FV81" s="222">
        <v>5548</v>
      </c>
      <c r="FW81" s="224">
        <f t="shared" si="116"/>
        <v>0</v>
      </c>
      <c r="FX81" s="222">
        <v>5548</v>
      </c>
      <c r="FY81" s="226" t="str">
        <f t="shared" si="117"/>
        <v xml:space="preserve"> </v>
      </c>
      <c r="FZ81" s="312">
        <v>5548</v>
      </c>
      <c r="GA81" s="286">
        <f>FU81*Wirtschaftlichkeit!$X$5/Wirtschaftlichkeit!$X$7</f>
        <v>0</v>
      </c>
      <c r="GB81" s="284">
        <f t="shared" si="118"/>
        <v>0</v>
      </c>
      <c r="GD81" s="222">
        <v>5548</v>
      </c>
      <c r="GE81" s="225" t="str">
        <f>IF($C81&gt;=Wirtschaftlichkeit!$Y$8,Wirtschaftlichkeit!$Y$8,IF(AND($C81&lt;=Wirtschaftlichkeit!$Y$8,$C81&gt;=Wirtschaftlichkeit!$Y$8*Eingabemaske!$B$18),$C81,"0"))</f>
        <v>0</v>
      </c>
      <c r="GF81" s="222">
        <v>5548</v>
      </c>
      <c r="GG81" s="224">
        <f t="shared" si="119"/>
        <v>0</v>
      </c>
      <c r="GH81" s="222">
        <v>5548</v>
      </c>
      <c r="GI81" s="226" t="str">
        <f t="shared" si="120"/>
        <v xml:space="preserve"> </v>
      </c>
      <c r="GJ81" s="312">
        <v>5548</v>
      </c>
      <c r="GK81" s="286">
        <f>GE81*Wirtschaftlichkeit!$Y$5/Wirtschaftlichkeit!$Y$7</f>
        <v>0</v>
      </c>
      <c r="GL81" s="284">
        <f t="shared" si="121"/>
        <v>0</v>
      </c>
      <c r="GN81" s="222">
        <v>5548</v>
      </c>
      <c r="GO81" s="225" t="str">
        <f>IF($C81&gt;=Wirtschaftlichkeit!$Z$8,Wirtschaftlichkeit!$Z$8,IF(AND($C81&lt;=Wirtschaftlichkeit!$Z$8,$C81&gt;=Wirtschaftlichkeit!$Z$8*Eingabemaske!$B$18),$C81,"0"))</f>
        <v>0</v>
      </c>
      <c r="GP81" s="222">
        <v>5548</v>
      </c>
      <c r="GQ81" s="224">
        <f t="shared" si="122"/>
        <v>0</v>
      </c>
      <c r="GR81" s="222">
        <v>5548</v>
      </c>
      <c r="GS81" s="226" t="str">
        <f t="shared" si="123"/>
        <v xml:space="preserve"> </v>
      </c>
      <c r="GT81" s="312">
        <v>5548</v>
      </c>
      <c r="GU81" s="286">
        <f>GO81*Wirtschaftlichkeit!$Z$5/Wirtschaftlichkeit!$Z$7</f>
        <v>0</v>
      </c>
      <c r="GV81" s="284">
        <f t="shared" si="124"/>
        <v>0</v>
      </c>
      <c r="GW81" s="266"/>
      <c r="GX81" s="258">
        <v>5548</v>
      </c>
      <c r="GY81" s="270" t="str">
        <f>IF(Berechnung_Diagramme!$C$28=Berechnungen_Lastgang!$F$2,Berechnungen_Lastgang!G81,IF(Berechnung_Diagramme!$C$28=Berechnungen_Lastgang!$P$2,Berechnungen_Lastgang!Q81,IF(Berechnung_Diagramme!$C$28=Berechnungen_Lastgang!$Z$2,Berechnungen_Lastgang!AA81,IF(Berechnung_Diagramme!$C$28=Berechnungen_Lastgang!$AJ$2,Berechnungen_Lastgang!AK81,IF(Berechnung_Diagramme!$C$28=Berechnungen_Lastgang!$AT$2,Berechnungen_Lastgang!AU81,IF(Berechnung_Diagramme!$C$28=Berechnungen_Lastgang!$BD$2,Berechnungen_Lastgang!BE81,IF(Berechnung_Diagramme!$C$28=Berechnungen_Lastgang!$BN$2,Berechnungen_Lastgang!BO81,IF(Berechnung_Diagramme!$C$28=Berechnungen_Lastgang!$BX$2,Berechnungen_Lastgang!BY81,IF(Berechnung_Diagramme!$C$28=Berechnungen_Lastgang!$CH$2,Berechnungen_Lastgang!CI81,IF(Berechnung_Diagramme!$C$28=Berechnungen_Lastgang!$CR$2,Berechnungen_Lastgang!CS81,IF(Berechnung_Diagramme!$C$28=Berechnungen_Lastgang!$DB$2,Berechnungen_Lastgang!DC81,IF(Berechnung_Diagramme!$C$28=Berechnungen_Lastgang!$DL$2,Berechnungen_Lastgang!DM81,IF(Berechnung_Diagramme!$C$28=Berechnungen_Lastgang!$DV$2,Berechnungen_Lastgang!DW81,IF(Berechnung_Diagramme!$C$28=Berechnungen_Lastgang!$EF$2,Berechnungen_Lastgang!EG81,IF(Berechnung_Diagramme!$C$28=Berechnungen_Lastgang!$EP$2,Berechnungen_Lastgang!EQ81,IF(Berechnung_Diagramme!$C$28=Berechnungen_Lastgang!$EZ$2,Berechnungen_Lastgang!FA81,IF(Berechnung_Diagramme!$C$28=Berechnungen_Lastgang!$FJ$2,Berechnungen_Lastgang!FK81,IF(Berechnung_Diagramme!$C$28=Berechnungen_Lastgang!$FT$2,Berechnungen_Lastgang!FU81,IF(Berechnung_Diagramme!$C$28=Berechnungen_Lastgang!$GD$2,Berechnungen_Lastgang!GE81,IF(Berechnung_Diagramme!$C$28=Berechnungen_Lastgang!$GN$2,Berechnungen_Lastgang!GO81,""))))))))))))))))))))</f>
        <v>0</v>
      </c>
    </row>
    <row r="82" spans="2:207" x14ac:dyDescent="0.25">
      <c r="B82" s="64">
        <v>5621</v>
      </c>
      <c r="C82" s="67">
        <f>C81+((C85-C81)/(B85-B81))*(B82-B81)</f>
        <v>7.1601299999999988</v>
      </c>
      <c r="D82" s="66">
        <f t="shared" si="64"/>
        <v>520.19617499999993</v>
      </c>
      <c r="F82" s="64">
        <v>5621</v>
      </c>
      <c r="G82" s="225">
        <f>IF($C82&gt;=Wirtschaftlichkeit!$G$8,Wirtschaftlichkeit!$G$8,IF(AND($C82&lt;=Wirtschaftlichkeit!$G$8,$C82&gt;=Wirtschaftlichkeit!$G$8*Eingabemaske!$B$18),$C82,"0"))</f>
        <v>2.8333333333333335</v>
      </c>
      <c r="H82" s="64">
        <v>5621</v>
      </c>
      <c r="I82" s="66">
        <f t="shared" si="65"/>
        <v>206.83333333333334</v>
      </c>
      <c r="J82" s="64">
        <v>5621</v>
      </c>
      <c r="K82" s="71">
        <f t="shared" si="66"/>
        <v>2.8333333333333335</v>
      </c>
      <c r="L82" s="312">
        <v>5621</v>
      </c>
      <c r="M82" s="286">
        <f>G82*Wirtschaftlichkeit!$G$5/Wirtschaftlichkeit!$G$7</f>
        <v>1</v>
      </c>
      <c r="N82" s="284">
        <f t="shared" si="67"/>
        <v>73</v>
      </c>
      <c r="P82" s="222">
        <v>5621</v>
      </c>
      <c r="Q82" s="225">
        <f>IF($C82&gt;=Wirtschaftlichkeit!$H$8,Wirtschaftlichkeit!$H$8,IF(AND($C82&lt;=Wirtschaftlichkeit!$H$8,$C82&gt;=Wirtschaftlichkeit!$H$8*Eingabemaske!$B$18),$C82,"0"))</f>
        <v>5.5876288659793811</v>
      </c>
      <c r="R82" s="222">
        <v>5621</v>
      </c>
      <c r="S82" s="224">
        <f t="shared" si="68"/>
        <v>407.89690721649481</v>
      </c>
      <c r="T82" s="222">
        <v>5621</v>
      </c>
      <c r="U82" s="226">
        <f t="shared" si="69"/>
        <v>5.5876288659793811</v>
      </c>
      <c r="V82" s="312">
        <v>5621</v>
      </c>
      <c r="W82" s="286">
        <f>Q82*Wirtschaftlichkeit!$H$5/Wirtschaftlichkeit!$H$7</f>
        <v>2</v>
      </c>
      <c r="X82" s="284">
        <f t="shared" si="70"/>
        <v>146</v>
      </c>
      <c r="Z82" s="222">
        <v>5621</v>
      </c>
      <c r="AA82" s="225">
        <f>IF($C82&gt;=Wirtschaftlichkeit!$I$8,Wirtschaftlichkeit!$I$8,IF(AND($C82&lt;=Wirtschaftlichkeit!$I$8,$C82&gt;=Wirtschaftlichkeit!$I$8*Eingabemaske!$B$18),$C82,"0"))</f>
        <v>7.1601299999999988</v>
      </c>
      <c r="AB82" s="222">
        <v>5621</v>
      </c>
      <c r="AC82" s="224">
        <f t="shared" si="71"/>
        <v>520.19617499999993</v>
      </c>
      <c r="AD82" s="222">
        <v>5621</v>
      </c>
      <c r="AE82" s="226">
        <f t="shared" si="72"/>
        <v>7.1601299999999988</v>
      </c>
      <c r="AF82" s="312">
        <v>5621</v>
      </c>
      <c r="AG82" s="286">
        <f>AA82*Wirtschaftlichkeit!$I$5/Wirtschaftlichkeit!$I$7</f>
        <v>2.6045788806470322</v>
      </c>
      <c r="AH82" s="284">
        <f t="shared" si="73"/>
        <v>189.2272865434521</v>
      </c>
      <c r="AJ82" s="222">
        <v>5621</v>
      </c>
      <c r="AK82" s="225">
        <f>IF($C82&gt;=Wirtschaftlichkeit!$J$8,Wirtschaftlichkeit!$J$8,IF(AND($C82&lt;=Wirtschaftlichkeit!$J$8,$C82&gt;=Wirtschaftlichkeit!$J$8*Eingabemaske!$B$18),$C82,"0"))</f>
        <v>7.1601299999999988</v>
      </c>
      <c r="AL82" s="222">
        <v>5621</v>
      </c>
      <c r="AM82" s="224">
        <f t="shared" si="74"/>
        <v>520.19617499999993</v>
      </c>
      <c r="AN82" s="222">
        <v>5621</v>
      </c>
      <c r="AO82" s="226">
        <f t="shared" si="75"/>
        <v>7.1601299999999988</v>
      </c>
      <c r="AP82" s="312">
        <v>5621</v>
      </c>
      <c r="AQ82" s="286">
        <f>AK82*Wirtschaftlichkeit!$J$5/Wirtschaftlichkeit!$J$7</f>
        <v>2.7179730895351528</v>
      </c>
      <c r="AR82" s="284">
        <f t="shared" si="76"/>
        <v>197.4655774307337</v>
      </c>
      <c r="AT82" s="222">
        <v>5621</v>
      </c>
      <c r="AU82" s="225">
        <f>IF($C82&gt;=Wirtschaftlichkeit!$K$8,Wirtschaftlichkeit!$K$8,IF(AND($C82&lt;=Wirtschaftlichkeit!$K$8,$C82&gt;=Wirtschaftlichkeit!$K$8*Eingabemaske!$B$18),$C82,"0"))</f>
        <v>7.1601299999999988</v>
      </c>
      <c r="AV82" s="222">
        <v>5621</v>
      </c>
      <c r="AW82" s="224">
        <f t="shared" si="77"/>
        <v>520.19617499999993</v>
      </c>
      <c r="AX82" s="222">
        <v>5621</v>
      </c>
      <c r="AY82" s="226">
        <f t="shared" si="78"/>
        <v>7.1601299999999988</v>
      </c>
      <c r="AZ82" s="312">
        <v>5621</v>
      </c>
      <c r="BA82" s="286">
        <f>AU82*Wirtschaftlichkeit!$K$5/Wirtschaftlichkeit!$K$7</f>
        <v>2.8102917556914258</v>
      </c>
      <c r="BB82" s="284">
        <f t="shared" si="79"/>
        <v>204.17269266685298</v>
      </c>
      <c r="BD82" s="222">
        <v>5621</v>
      </c>
      <c r="BE82" s="225" t="str">
        <f>IF($C82&gt;=Wirtschaftlichkeit!$L$8,Wirtschaftlichkeit!$L$8,IF(AND($C82&lt;=Wirtschaftlichkeit!$L$8,$C82&gt;=Wirtschaftlichkeit!$L$8*Eingabemaske!$B$18),$C82,"0"))</f>
        <v>0</v>
      </c>
      <c r="BF82" s="222">
        <v>5621</v>
      </c>
      <c r="BG82" s="224">
        <f t="shared" si="80"/>
        <v>0</v>
      </c>
      <c r="BH82" s="222">
        <v>5621</v>
      </c>
      <c r="BI82" s="226" t="str">
        <f t="shared" si="81"/>
        <v xml:space="preserve"> </v>
      </c>
      <c r="BJ82" s="312">
        <v>5621</v>
      </c>
      <c r="BK82" s="286">
        <f>BE82*Wirtschaftlichkeit!$L$5/Wirtschaftlichkeit!$L$7</f>
        <v>0</v>
      </c>
      <c r="BL82" s="284">
        <f t="shared" si="82"/>
        <v>0</v>
      </c>
      <c r="BN82" s="222">
        <v>5621</v>
      </c>
      <c r="BO82" s="225" t="str">
        <f>IF($C82&gt;=Wirtschaftlichkeit!$M$8,Wirtschaftlichkeit!$M$8,IF(AND($C82&lt;=Wirtschaftlichkeit!$M$8,$C82&gt;=Wirtschaftlichkeit!$M$8*Eingabemaske!$B$18),$C82,"0"))</f>
        <v>0</v>
      </c>
      <c r="BP82" s="222">
        <v>5621</v>
      </c>
      <c r="BQ82" s="224">
        <f t="shared" si="83"/>
        <v>0</v>
      </c>
      <c r="BR82" s="222">
        <v>5621</v>
      </c>
      <c r="BS82" s="226" t="str">
        <f t="shared" si="84"/>
        <v xml:space="preserve"> </v>
      </c>
      <c r="BT82" s="312">
        <v>5621</v>
      </c>
      <c r="BU82" s="286">
        <f>BO82*Wirtschaftlichkeit!$M$5/Wirtschaftlichkeit!$M$7</f>
        <v>0</v>
      </c>
      <c r="BV82" s="284">
        <f t="shared" si="85"/>
        <v>0</v>
      </c>
      <c r="BX82" s="222">
        <v>5621</v>
      </c>
      <c r="BY82" s="225" t="str">
        <f>IF($C82&gt;=Wirtschaftlichkeit!$N$8,Wirtschaftlichkeit!$N$8,IF(AND($C82&lt;=Wirtschaftlichkeit!$N$8,$C82&gt;=Wirtschaftlichkeit!$N$8*Eingabemaske!$B$18),$C82,"0"))</f>
        <v>0</v>
      </c>
      <c r="BZ82" s="222">
        <v>5621</v>
      </c>
      <c r="CA82" s="224">
        <f t="shared" si="86"/>
        <v>0</v>
      </c>
      <c r="CB82" s="222">
        <v>5621</v>
      </c>
      <c r="CC82" s="226" t="str">
        <f t="shared" si="87"/>
        <v xml:space="preserve"> </v>
      </c>
      <c r="CD82" s="312">
        <v>5621</v>
      </c>
      <c r="CE82" s="286">
        <f>BY82*Wirtschaftlichkeit!$N$5/Wirtschaftlichkeit!$N$7</f>
        <v>0</v>
      </c>
      <c r="CF82" s="284">
        <f t="shared" si="88"/>
        <v>0</v>
      </c>
      <c r="CH82" s="222">
        <v>5621</v>
      </c>
      <c r="CI82" s="225" t="str">
        <f>IF($C82&gt;=Wirtschaftlichkeit!$O$8,Wirtschaftlichkeit!$O$8,IF(AND($C82&lt;=Wirtschaftlichkeit!$O$8,$C82&gt;=Wirtschaftlichkeit!$O$8*Eingabemaske!$B$18),$C82,"0"))</f>
        <v>0</v>
      </c>
      <c r="CJ82" s="222">
        <v>5621</v>
      </c>
      <c r="CK82" s="224">
        <f t="shared" si="89"/>
        <v>0</v>
      </c>
      <c r="CL82" s="222">
        <v>5621</v>
      </c>
      <c r="CM82" s="226" t="str">
        <f t="shared" si="90"/>
        <v xml:space="preserve"> </v>
      </c>
      <c r="CN82" s="312">
        <v>5621</v>
      </c>
      <c r="CO82" s="286">
        <f>CI82*Wirtschaftlichkeit!$O$5/Wirtschaftlichkeit!$O$7</f>
        <v>0</v>
      </c>
      <c r="CP82" s="284">
        <f t="shared" si="91"/>
        <v>0</v>
      </c>
      <c r="CR82" s="222">
        <v>5621</v>
      </c>
      <c r="CS82" s="225" t="str">
        <f>IF($C82&gt;=Wirtschaftlichkeit!$P$8,Wirtschaftlichkeit!$P$8,IF(AND($C82&lt;=Wirtschaftlichkeit!$P$8,$C82&gt;=Wirtschaftlichkeit!$P$8*Eingabemaske!$B$18),$C82,"0"))</f>
        <v>0</v>
      </c>
      <c r="CT82" s="222">
        <v>5621</v>
      </c>
      <c r="CU82" s="224">
        <f t="shared" si="92"/>
        <v>0</v>
      </c>
      <c r="CV82" s="222">
        <v>5621</v>
      </c>
      <c r="CW82" s="226" t="str">
        <f t="shared" si="93"/>
        <v xml:space="preserve"> </v>
      </c>
      <c r="CX82" s="312">
        <v>5621</v>
      </c>
      <c r="CY82" s="286">
        <f>CS82*Wirtschaftlichkeit!$P$5/Wirtschaftlichkeit!$P$7</f>
        <v>0</v>
      </c>
      <c r="CZ82" s="284">
        <f t="shared" si="94"/>
        <v>0</v>
      </c>
      <c r="DB82" s="222">
        <v>5621</v>
      </c>
      <c r="DC82" s="225" t="str">
        <f>IF($C82&gt;=Wirtschaftlichkeit!$Q$8,Wirtschaftlichkeit!$Q$8,IF(AND($C82&lt;=Wirtschaftlichkeit!$Q$8,$C82&gt;=Wirtschaftlichkeit!$Q$8*Eingabemaske!$B$18),$C82,"0"))</f>
        <v>0</v>
      </c>
      <c r="DD82" s="222">
        <v>5621</v>
      </c>
      <c r="DE82" s="224">
        <f t="shared" si="95"/>
        <v>0</v>
      </c>
      <c r="DF82" s="222">
        <v>5621</v>
      </c>
      <c r="DG82" s="226" t="str">
        <f t="shared" si="96"/>
        <v xml:space="preserve"> </v>
      </c>
      <c r="DH82" s="312">
        <v>5621</v>
      </c>
      <c r="DI82" s="286">
        <f>DC82*Wirtschaftlichkeit!$Q$5/Wirtschaftlichkeit!$Q$7</f>
        <v>0</v>
      </c>
      <c r="DJ82" s="284">
        <f t="shared" si="97"/>
        <v>0</v>
      </c>
      <c r="DL82" s="222">
        <v>5621</v>
      </c>
      <c r="DM82" s="225" t="str">
        <f>IF($C82&gt;=Wirtschaftlichkeit!$R$8,Wirtschaftlichkeit!$R$8,IF(AND($C82&lt;=Wirtschaftlichkeit!$R$8,$C82&gt;=Wirtschaftlichkeit!$R$8*Eingabemaske!$B$18),$C82,"0"))</f>
        <v>0</v>
      </c>
      <c r="DN82" s="222">
        <v>5621</v>
      </c>
      <c r="DO82" s="224">
        <f t="shared" si="98"/>
        <v>0</v>
      </c>
      <c r="DP82" s="222">
        <v>5621</v>
      </c>
      <c r="DQ82" s="226" t="str">
        <f t="shared" si="99"/>
        <v xml:space="preserve"> </v>
      </c>
      <c r="DR82" s="312">
        <v>5621</v>
      </c>
      <c r="DS82" s="286">
        <f>DM82*Wirtschaftlichkeit!$R$5/Wirtschaftlichkeit!$R$7</f>
        <v>0</v>
      </c>
      <c r="DT82" s="284">
        <f t="shared" si="100"/>
        <v>0</v>
      </c>
      <c r="DV82" s="222">
        <v>5621</v>
      </c>
      <c r="DW82" s="225" t="str">
        <f>IF($C82&gt;=Wirtschaftlichkeit!$S$8,Wirtschaftlichkeit!$S$8,IF(AND($C82&lt;=Wirtschaftlichkeit!$S$8,$C82&gt;=Wirtschaftlichkeit!$S$8*Eingabemaske!$B$18),$C82,"0"))</f>
        <v>0</v>
      </c>
      <c r="DX82" s="222">
        <v>5621</v>
      </c>
      <c r="DY82" s="224">
        <f t="shared" si="101"/>
        <v>0</v>
      </c>
      <c r="DZ82" s="222">
        <v>5621</v>
      </c>
      <c r="EA82" s="226" t="str">
        <f t="shared" si="102"/>
        <v xml:space="preserve"> </v>
      </c>
      <c r="EB82" s="312">
        <v>5621</v>
      </c>
      <c r="EC82" s="286">
        <f>DW82*Wirtschaftlichkeit!$S$5/Wirtschaftlichkeit!$S$7</f>
        <v>0</v>
      </c>
      <c r="ED82" s="284">
        <f t="shared" si="103"/>
        <v>0</v>
      </c>
      <c r="EF82" s="222">
        <v>5621</v>
      </c>
      <c r="EG82" s="225" t="str">
        <f>IF($C82&gt;=Wirtschaftlichkeit!$T$8,Wirtschaftlichkeit!$T$8,IF(AND($C82&lt;=Wirtschaftlichkeit!$T$8,$C82&gt;=Wirtschaftlichkeit!$T$8*Eingabemaske!$B$18),$C82,"0"))</f>
        <v>0</v>
      </c>
      <c r="EH82" s="222">
        <v>5621</v>
      </c>
      <c r="EI82" s="224">
        <f t="shared" si="104"/>
        <v>0</v>
      </c>
      <c r="EJ82" s="222">
        <v>5621</v>
      </c>
      <c r="EK82" s="226" t="str">
        <f t="shared" si="105"/>
        <v xml:space="preserve"> </v>
      </c>
      <c r="EL82" s="312">
        <v>5621</v>
      </c>
      <c r="EM82" s="286">
        <f>EG82*Wirtschaftlichkeit!$T$5/Wirtschaftlichkeit!$T$7</f>
        <v>0</v>
      </c>
      <c r="EN82" s="284">
        <f t="shared" si="106"/>
        <v>0</v>
      </c>
      <c r="EP82" s="222">
        <v>5621</v>
      </c>
      <c r="EQ82" s="225" t="str">
        <f>IF($C82&gt;=Wirtschaftlichkeit!$U$8,Wirtschaftlichkeit!$U$8,IF(AND($C82&lt;=Wirtschaftlichkeit!$U$8,$C82&gt;=Wirtschaftlichkeit!$U$8*Eingabemaske!$B$18),$C82,"0"))</f>
        <v>0</v>
      </c>
      <c r="ER82" s="222">
        <v>5621</v>
      </c>
      <c r="ES82" s="224">
        <f t="shared" si="107"/>
        <v>0</v>
      </c>
      <c r="ET82" s="222">
        <v>5621</v>
      </c>
      <c r="EU82" s="226" t="str">
        <f t="shared" si="108"/>
        <v xml:space="preserve"> </v>
      </c>
      <c r="EV82" s="312">
        <v>5621</v>
      </c>
      <c r="EW82" s="286">
        <f>EQ82*Wirtschaftlichkeit!$U$5/Wirtschaftlichkeit!$U$7</f>
        <v>0</v>
      </c>
      <c r="EX82" s="284">
        <f t="shared" si="109"/>
        <v>0</v>
      </c>
      <c r="EZ82" s="222">
        <v>5621</v>
      </c>
      <c r="FA82" s="225" t="str">
        <f>IF($C82&gt;=Wirtschaftlichkeit!$V$8,Wirtschaftlichkeit!$V$8,IF(AND($C82&lt;=Wirtschaftlichkeit!$V$8,$C82&gt;=Wirtschaftlichkeit!$V$8*Eingabemaske!$B$18),$C82,"0"))</f>
        <v>0</v>
      </c>
      <c r="FB82" s="222">
        <v>5621</v>
      </c>
      <c r="FC82" s="224">
        <f t="shared" si="110"/>
        <v>0</v>
      </c>
      <c r="FD82" s="222">
        <v>5621</v>
      </c>
      <c r="FE82" s="226" t="str">
        <f t="shared" si="111"/>
        <v xml:space="preserve"> </v>
      </c>
      <c r="FF82" s="312">
        <v>5621</v>
      </c>
      <c r="FG82" s="286">
        <f>FA82*Wirtschaftlichkeit!$V$5/Wirtschaftlichkeit!$V$7</f>
        <v>0</v>
      </c>
      <c r="FH82" s="284">
        <f t="shared" si="112"/>
        <v>0</v>
      </c>
      <c r="FJ82" s="222">
        <v>5621</v>
      </c>
      <c r="FK82" s="225" t="str">
        <f>IF($C82&gt;=Wirtschaftlichkeit!$W$8,Wirtschaftlichkeit!$W$8,IF(AND($C82&lt;=Wirtschaftlichkeit!$W$8,$C82&gt;=Wirtschaftlichkeit!$W$8*Eingabemaske!$B$18),$C82,"0"))</f>
        <v>0</v>
      </c>
      <c r="FL82" s="222">
        <v>5621</v>
      </c>
      <c r="FM82" s="224">
        <f t="shared" si="113"/>
        <v>0</v>
      </c>
      <c r="FN82" s="222">
        <v>5621</v>
      </c>
      <c r="FO82" s="226" t="str">
        <f t="shared" si="114"/>
        <v xml:space="preserve"> </v>
      </c>
      <c r="FP82" s="312">
        <v>5621</v>
      </c>
      <c r="FQ82" s="286">
        <f>FK82*Wirtschaftlichkeit!$W$5/Wirtschaftlichkeit!$W$7</f>
        <v>0</v>
      </c>
      <c r="FR82" s="284">
        <f t="shared" si="115"/>
        <v>0</v>
      </c>
      <c r="FT82" s="222">
        <v>5621</v>
      </c>
      <c r="FU82" s="225" t="str">
        <f>IF($C82&gt;=Wirtschaftlichkeit!$X$8,Wirtschaftlichkeit!$X$8,IF(AND($C82&lt;=Wirtschaftlichkeit!$X$8,$C82&gt;=Wirtschaftlichkeit!$X$8*Eingabemaske!$B$18),$C82,"0"))</f>
        <v>0</v>
      </c>
      <c r="FV82" s="222">
        <v>5621</v>
      </c>
      <c r="FW82" s="224">
        <f t="shared" si="116"/>
        <v>0</v>
      </c>
      <c r="FX82" s="222">
        <v>5621</v>
      </c>
      <c r="FY82" s="226" t="str">
        <f t="shared" si="117"/>
        <v xml:space="preserve"> </v>
      </c>
      <c r="FZ82" s="312">
        <v>5621</v>
      </c>
      <c r="GA82" s="286">
        <f>FU82*Wirtschaftlichkeit!$X$5/Wirtschaftlichkeit!$X$7</f>
        <v>0</v>
      </c>
      <c r="GB82" s="284">
        <f t="shared" si="118"/>
        <v>0</v>
      </c>
      <c r="GD82" s="222">
        <v>5621</v>
      </c>
      <c r="GE82" s="225" t="str">
        <f>IF($C82&gt;=Wirtschaftlichkeit!$Y$8,Wirtschaftlichkeit!$Y$8,IF(AND($C82&lt;=Wirtschaftlichkeit!$Y$8,$C82&gt;=Wirtschaftlichkeit!$Y$8*Eingabemaske!$B$18),$C82,"0"))</f>
        <v>0</v>
      </c>
      <c r="GF82" s="222">
        <v>5621</v>
      </c>
      <c r="GG82" s="224">
        <f t="shared" si="119"/>
        <v>0</v>
      </c>
      <c r="GH82" s="222">
        <v>5621</v>
      </c>
      <c r="GI82" s="226" t="str">
        <f t="shared" si="120"/>
        <v xml:space="preserve"> </v>
      </c>
      <c r="GJ82" s="312">
        <v>5621</v>
      </c>
      <c r="GK82" s="286">
        <f>GE82*Wirtschaftlichkeit!$Y$5/Wirtschaftlichkeit!$Y$7</f>
        <v>0</v>
      </c>
      <c r="GL82" s="284">
        <f t="shared" si="121"/>
        <v>0</v>
      </c>
      <c r="GN82" s="222">
        <v>5621</v>
      </c>
      <c r="GO82" s="225" t="str">
        <f>IF($C82&gt;=Wirtschaftlichkeit!$Z$8,Wirtschaftlichkeit!$Z$8,IF(AND($C82&lt;=Wirtschaftlichkeit!$Z$8,$C82&gt;=Wirtschaftlichkeit!$Z$8*Eingabemaske!$B$18),$C82,"0"))</f>
        <v>0</v>
      </c>
      <c r="GP82" s="222">
        <v>5621</v>
      </c>
      <c r="GQ82" s="224">
        <f t="shared" si="122"/>
        <v>0</v>
      </c>
      <c r="GR82" s="222">
        <v>5621</v>
      </c>
      <c r="GS82" s="226" t="str">
        <f t="shared" si="123"/>
        <v xml:space="preserve"> </v>
      </c>
      <c r="GT82" s="312">
        <v>5621</v>
      </c>
      <c r="GU82" s="286">
        <f>GO82*Wirtschaftlichkeit!$Z$5/Wirtschaftlichkeit!$Z$7</f>
        <v>0</v>
      </c>
      <c r="GV82" s="284">
        <f t="shared" si="124"/>
        <v>0</v>
      </c>
      <c r="GW82" s="266"/>
      <c r="GX82" s="258">
        <v>5621</v>
      </c>
      <c r="GY82" s="270" t="str">
        <f>IF(Berechnung_Diagramme!$C$28=Berechnungen_Lastgang!$F$2,Berechnungen_Lastgang!G82,IF(Berechnung_Diagramme!$C$28=Berechnungen_Lastgang!$P$2,Berechnungen_Lastgang!Q82,IF(Berechnung_Diagramme!$C$28=Berechnungen_Lastgang!$Z$2,Berechnungen_Lastgang!AA82,IF(Berechnung_Diagramme!$C$28=Berechnungen_Lastgang!$AJ$2,Berechnungen_Lastgang!AK82,IF(Berechnung_Diagramme!$C$28=Berechnungen_Lastgang!$AT$2,Berechnungen_Lastgang!AU82,IF(Berechnung_Diagramme!$C$28=Berechnungen_Lastgang!$BD$2,Berechnungen_Lastgang!BE82,IF(Berechnung_Diagramme!$C$28=Berechnungen_Lastgang!$BN$2,Berechnungen_Lastgang!BO82,IF(Berechnung_Diagramme!$C$28=Berechnungen_Lastgang!$BX$2,Berechnungen_Lastgang!BY82,IF(Berechnung_Diagramme!$C$28=Berechnungen_Lastgang!$CH$2,Berechnungen_Lastgang!CI82,IF(Berechnung_Diagramme!$C$28=Berechnungen_Lastgang!$CR$2,Berechnungen_Lastgang!CS82,IF(Berechnung_Diagramme!$C$28=Berechnungen_Lastgang!$DB$2,Berechnungen_Lastgang!DC82,IF(Berechnung_Diagramme!$C$28=Berechnungen_Lastgang!$DL$2,Berechnungen_Lastgang!DM82,IF(Berechnung_Diagramme!$C$28=Berechnungen_Lastgang!$DV$2,Berechnungen_Lastgang!DW82,IF(Berechnung_Diagramme!$C$28=Berechnungen_Lastgang!$EF$2,Berechnungen_Lastgang!EG82,IF(Berechnung_Diagramme!$C$28=Berechnungen_Lastgang!$EP$2,Berechnungen_Lastgang!EQ82,IF(Berechnung_Diagramme!$C$28=Berechnungen_Lastgang!$EZ$2,Berechnungen_Lastgang!FA82,IF(Berechnung_Diagramme!$C$28=Berechnungen_Lastgang!$FJ$2,Berechnungen_Lastgang!FK82,IF(Berechnung_Diagramme!$C$28=Berechnungen_Lastgang!$FT$2,Berechnungen_Lastgang!FU82,IF(Berechnung_Diagramme!$C$28=Berechnungen_Lastgang!$GD$2,Berechnungen_Lastgang!GE82,IF(Berechnung_Diagramme!$C$28=Berechnungen_Lastgang!$GN$2,Berechnungen_Lastgang!GO82,""))))))))))))))))))))</f>
        <v>0</v>
      </c>
    </row>
    <row r="83" spans="2:207" x14ac:dyDescent="0.25">
      <c r="B83" s="64">
        <v>5694</v>
      </c>
      <c r="C83" s="67">
        <f>C82+((C85-C82)/(B85-B82))*(B83-B82)</f>
        <v>7.0918199999999993</v>
      </c>
      <c r="D83" s="66">
        <f t="shared" si="64"/>
        <v>515.20954500000005</v>
      </c>
      <c r="F83" s="64">
        <v>5694</v>
      </c>
      <c r="G83" s="225">
        <f>IF($C83&gt;=Wirtschaftlichkeit!$G$8,Wirtschaftlichkeit!$G$8,IF(AND($C83&lt;=Wirtschaftlichkeit!$G$8,$C83&gt;=Wirtschaftlichkeit!$G$8*Eingabemaske!$B$18),$C83,"0"))</f>
        <v>2.8333333333333335</v>
      </c>
      <c r="H83" s="64">
        <v>5694</v>
      </c>
      <c r="I83" s="66">
        <f t="shared" si="65"/>
        <v>206.83333333333334</v>
      </c>
      <c r="J83" s="64">
        <v>5694</v>
      </c>
      <c r="K83" s="71">
        <f t="shared" si="66"/>
        <v>2.8333333333333335</v>
      </c>
      <c r="L83" s="312">
        <v>5694</v>
      </c>
      <c r="M83" s="286">
        <f>G83*Wirtschaftlichkeit!$G$5/Wirtschaftlichkeit!$G$7</f>
        <v>1</v>
      </c>
      <c r="N83" s="284">
        <f t="shared" si="67"/>
        <v>73</v>
      </c>
      <c r="P83" s="222">
        <v>5694</v>
      </c>
      <c r="Q83" s="225">
        <f>IF($C83&gt;=Wirtschaftlichkeit!$H$8,Wirtschaftlichkeit!$H$8,IF(AND($C83&lt;=Wirtschaftlichkeit!$H$8,$C83&gt;=Wirtschaftlichkeit!$H$8*Eingabemaske!$B$18),$C83,"0"))</f>
        <v>5.5876288659793811</v>
      </c>
      <c r="R83" s="222">
        <v>5694</v>
      </c>
      <c r="S83" s="224">
        <f t="shared" si="68"/>
        <v>407.89690721649481</v>
      </c>
      <c r="T83" s="222">
        <v>5694</v>
      </c>
      <c r="U83" s="226">
        <f t="shared" si="69"/>
        <v>5.5876288659793811</v>
      </c>
      <c r="V83" s="312">
        <v>5694</v>
      </c>
      <c r="W83" s="286">
        <f>Q83*Wirtschaftlichkeit!$H$5/Wirtschaftlichkeit!$H$7</f>
        <v>2</v>
      </c>
      <c r="X83" s="284">
        <f t="shared" si="70"/>
        <v>146</v>
      </c>
      <c r="Z83" s="222">
        <v>5694</v>
      </c>
      <c r="AA83" s="225">
        <f>IF($C83&gt;=Wirtschaftlichkeit!$I$8,Wirtschaftlichkeit!$I$8,IF(AND($C83&lt;=Wirtschaftlichkeit!$I$8,$C83&gt;=Wirtschaftlichkeit!$I$8*Eingabemaske!$B$18),$C83,"0"))</f>
        <v>7.0918199999999993</v>
      </c>
      <c r="AB83" s="222">
        <v>5694</v>
      </c>
      <c r="AC83" s="224">
        <f t="shared" si="71"/>
        <v>515.20954500000005</v>
      </c>
      <c r="AD83" s="222">
        <v>5694</v>
      </c>
      <c r="AE83" s="226">
        <f t="shared" si="72"/>
        <v>7.0918199999999993</v>
      </c>
      <c r="AF83" s="312">
        <v>5694</v>
      </c>
      <c r="AG83" s="286">
        <f>AA83*Wirtschaftlichkeit!$I$5/Wirtschaftlichkeit!$I$7</f>
        <v>2.579730339721519</v>
      </c>
      <c r="AH83" s="284">
        <f t="shared" si="73"/>
        <v>187.41334305588964</v>
      </c>
      <c r="AJ83" s="222">
        <v>5694</v>
      </c>
      <c r="AK83" s="225">
        <f>IF($C83&gt;=Wirtschaftlichkeit!$J$8,Wirtschaftlichkeit!$J$8,IF(AND($C83&lt;=Wirtschaftlichkeit!$J$8,$C83&gt;=Wirtschaftlichkeit!$J$8*Eingabemaske!$B$18),$C83,"0"))</f>
        <v>7.0918199999999993</v>
      </c>
      <c r="AL83" s="222">
        <v>5694</v>
      </c>
      <c r="AM83" s="224">
        <f t="shared" si="74"/>
        <v>515.20954500000005</v>
      </c>
      <c r="AN83" s="222">
        <v>5694</v>
      </c>
      <c r="AO83" s="226">
        <f t="shared" si="75"/>
        <v>7.0918199999999993</v>
      </c>
      <c r="AP83" s="312">
        <v>5694</v>
      </c>
      <c r="AQ83" s="286">
        <f>AK83*Wirtschaftlichkeit!$J$5/Wirtschaftlichkeit!$J$7</f>
        <v>2.6920427304849479</v>
      </c>
      <c r="AR83" s="284">
        <f t="shared" si="76"/>
        <v>195.57266122006871</v>
      </c>
      <c r="AT83" s="222">
        <v>5694</v>
      </c>
      <c r="AU83" s="225">
        <f>IF($C83&gt;=Wirtschaftlichkeit!$K$8,Wirtschaftlichkeit!$K$8,IF(AND($C83&lt;=Wirtschaftlichkeit!$K$8,$C83&gt;=Wirtschaftlichkeit!$K$8*Eingabemaske!$B$18),$C83,"0"))</f>
        <v>7.0918199999999993</v>
      </c>
      <c r="AV83" s="222">
        <v>5694</v>
      </c>
      <c r="AW83" s="224">
        <f t="shared" si="77"/>
        <v>515.20954500000005</v>
      </c>
      <c r="AX83" s="222">
        <v>5694</v>
      </c>
      <c r="AY83" s="226">
        <f t="shared" si="78"/>
        <v>7.0918199999999993</v>
      </c>
      <c r="AZ83" s="312">
        <v>5694</v>
      </c>
      <c r="BA83" s="286">
        <f>AU83*Wirtschaftlichkeit!$K$5/Wirtschaftlichkeit!$K$7</f>
        <v>2.7834806461401631</v>
      </c>
      <c r="BB83" s="284">
        <f t="shared" si="79"/>
        <v>202.21548166961085</v>
      </c>
      <c r="BD83" s="222">
        <v>5694</v>
      </c>
      <c r="BE83" s="225" t="str">
        <f>IF($C83&gt;=Wirtschaftlichkeit!$L$8,Wirtschaftlichkeit!$L$8,IF(AND($C83&lt;=Wirtschaftlichkeit!$L$8,$C83&gt;=Wirtschaftlichkeit!$L$8*Eingabemaske!$B$18),$C83,"0"))</f>
        <v>0</v>
      </c>
      <c r="BF83" s="222">
        <v>5694</v>
      </c>
      <c r="BG83" s="224">
        <f t="shared" si="80"/>
        <v>0</v>
      </c>
      <c r="BH83" s="222">
        <v>5694</v>
      </c>
      <c r="BI83" s="226" t="str">
        <f t="shared" si="81"/>
        <v xml:space="preserve"> </v>
      </c>
      <c r="BJ83" s="312">
        <v>5694</v>
      </c>
      <c r="BK83" s="286">
        <f>BE83*Wirtschaftlichkeit!$L$5/Wirtschaftlichkeit!$L$7</f>
        <v>0</v>
      </c>
      <c r="BL83" s="284">
        <f t="shared" si="82"/>
        <v>0</v>
      </c>
      <c r="BN83" s="222">
        <v>5694</v>
      </c>
      <c r="BO83" s="225" t="str">
        <f>IF($C83&gt;=Wirtschaftlichkeit!$M$8,Wirtschaftlichkeit!$M$8,IF(AND($C83&lt;=Wirtschaftlichkeit!$M$8,$C83&gt;=Wirtschaftlichkeit!$M$8*Eingabemaske!$B$18),$C83,"0"))</f>
        <v>0</v>
      </c>
      <c r="BP83" s="222">
        <v>5694</v>
      </c>
      <c r="BQ83" s="224">
        <f t="shared" si="83"/>
        <v>0</v>
      </c>
      <c r="BR83" s="222">
        <v>5694</v>
      </c>
      <c r="BS83" s="226" t="str">
        <f t="shared" si="84"/>
        <v xml:space="preserve"> </v>
      </c>
      <c r="BT83" s="312">
        <v>5694</v>
      </c>
      <c r="BU83" s="286">
        <f>BO83*Wirtschaftlichkeit!$M$5/Wirtschaftlichkeit!$M$7</f>
        <v>0</v>
      </c>
      <c r="BV83" s="284">
        <f t="shared" si="85"/>
        <v>0</v>
      </c>
      <c r="BX83" s="222">
        <v>5694</v>
      </c>
      <c r="BY83" s="225" t="str">
        <f>IF($C83&gt;=Wirtschaftlichkeit!$N$8,Wirtschaftlichkeit!$N$8,IF(AND($C83&lt;=Wirtschaftlichkeit!$N$8,$C83&gt;=Wirtschaftlichkeit!$N$8*Eingabemaske!$B$18),$C83,"0"))</f>
        <v>0</v>
      </c>
      <c r="BZ83" s="222">
        <v>5694</v>
      </c>
      <c r="CA83" s="224">
        <f t="shared" si="86"/>
        <v>0</v>
      </c>
      <c r="CB83" s="222">
        <v>5694</v>
      </c>
      <c r="CC83" s="226" t="str">
        <f t="shared" si="87"/>
        <v xml:space="preserve"> </v>
      </c>
      <c r="CD83" s="312">
        <v>5694</v>
      </c>
      <c r="CE83" s="286">
        <f>BY83*Wirtschaftlichkeit!$N$5/Wirtschaftlichkeit!$N$7</f>
        <v>0</v>
      </c>
      <c r="CF83" s="284">
        <f t="shared" si="88"/>
        <v>0</v>
      </c>
      <c r="CH83" s="222">
        <v>5694</v>
      </c>
      <c r="CI83" s="225" t="str">
        <f>IF($C83&gt;=Wirtschaftlichkeit!$O$8,Wirtschaftlichkeit!$O$8,IF(AND($C83&lt;=Wirtschaftlichkeit!$O$8,$C83&gt;=Wirtschaftlichkeit!$O$8*Eingabemaske!$B$18),$C83,"0"))</f>
        <v>0</v>
      </c>
      <c r="CJ83" s="222">
        <v>5694</v>
      </c>
      <c r="CK83" s="224">
        <f t="shared" si="89"/>
        <v>0</v>
      </c>
      <c r="CL83" s="222">
        <v>5694</v>
      </c>
      <c r="CM83" s="226" t="str">
        <f t="shared" si="90"/>
        <v xml:space="preserve"> </v>
      </c>
      <c r="CN83" s="312">
        <v>5694</v>
      </c>
      <c r="CO83" s="286">
        <f>CI83*Wirtschaftlichkeit!$O$5/Wirtschaftlichkeit!$O$7</f>
        <v>0</v>
      </c>
      <c r="CP83" s="284">
        <f t="shared" si="91"/>
        <v>0</v>
      </c>
      <c r="CR83" s="222">
        <v>5694</v>
      </c>
      <c r="CS83" s="225" t="str">
        <f>IF($C83&gt;=Wirtschaftlichkeit!$P$8,Wirtschaftlichkeit!$P$8,IF(AND($C83&lt;=Wirtschaftlichkeit!$P$8,$C83&gt;=Wirtschaftlichkeit!$P$8*Eingabemaske!$B$18),$C83,"0"))</f>
        <v>0</v>
      </c>
      <c r="CT83" s="222">
        <v>5694</v>
      </c>
      <c r="CU83" s="224">
        <f t="shared" si="92"/>
        <v>0</v>
      </c>
      <c r="CV83" s="222">
        <v>5694</v>
      </c>
      <c r="CW83" s="226" t="str">
        <f t="shared" si="93"/>
        <v xml:space="preserve"> </v>
      </c>
      <c r="CX83" s="312">
        <v>5694</v>
      </c>
      <c r="CY83" s="286">
        <f>CS83*Wirtschaftlichkeit!$P$5/Wirtschaftlichkeit!$P$7</f>
        <v>0</v>
      </c>
      <c r="CZ83" s="284">
        <f t="shared" si="94"/>
        <v>0</v>
      </c>
      <c r="DB83" s="222">
        <v>5694</v>
      </c>
      <c r="DC83" s="225" t="str">
        <f>IF($C83&gt;=Wirtschaftlichkeit!$Q$8,Wirtschaftlichkeit!$Q$8,IF(AND($C83&lt;=Wirtschaftlichkeit!$Q$8,$C83&gt;=Wirtschaftlichkeit!$Q$8*Eingabemaske!$B$18),$C83,"0"))</f>
        <v>0</v>
      </c>
      <c r="DD83" s="222">
        <v>5694</v>
      </c>
      <c r="DE83" s="224">
        <f t="shared" si="95"/>
        <v>0</v>
      </c>
      <c r="DF83" s="222">
        <v>5694</v>
      </c>
      <c r="DG83" s="226" t="str">
        <f t="shared" si="96"/>
        <v xml:space="preserve"> </v>
      </c>
      <c r="DH83" s="312">
        <v>5694</v>
      </c>
      <c r="DI83" s="286">
        <f>DC83*Wirtschaftlichkeit!$Q$5/Wirtschaftlichkeit!$Q$7</f>
        <v>0</v>
      </c>
      <c r="DJ83" s="284">
        <f t="shared" si="97"/>
        <v>0</v>
      </c>
      <c r="DL83" s="222">
        <v>5694</v>
      </c>
      <c r="DM83" s="225" t="str">
        <f>IF($C83&gt;=Wirtschaftlichkeit!$R$8,Wirtschaftlichkeit!$R$8,IF(AND($C83&lt;=Wirtschaftlichkeit!$R$8,$C83&gt;=Wirtschaftlichkeit!$R$8*Eingabemaske!$B$18),$C83,"0"))</f>
        <v>0</v>
      </c>
      <c r="DN83" s="222">
        <v>5694</v>
      </c>
      <c r="DO83" s="224">
        <f t="shared" si="98"/>
        <v>0</v>
      </c>
      <c r="DP83" s="222">
        <v>5694</v>
      </c>
      <c r="DQ83" s="226" t="str">
        <f t="shared" si="99"/>
        <v xml:space="preserve"> </v>
      </c>
      <c r="DR83" s="312">
        <v>5694</v>
      </c>
      <c r="DS83" s="286">
        <f>DM83*Wirtschaftlichkeit!$R$5/Wirtschaftlichkeit!$R$7</f>
        <v>0</v>
      </c>
      <c r="DT83" s="284">
        <f t="shared" si="100"/>
        <v>0</v>
      </c>
      <c r="DV83" s="222">
        <v>5694</v>
      </c>
      <c r="DW83" s="225" t="str">
        <f>IF($C83&gt;=Wirtschaftlichkeit!$S$8,Wirtschaftlichkeit!$S$8,IF(AND($C83&lt;=Wirtschaftlichkeit!$S$8,$C83&gt;=Wirtschaftlichkeit!$S$8*Eingabemaske!$B$18),$C83,"0"))</f>
        <v>0</v>
      </c>
      <c r="DX83" s="222">
        <v>5694</v>
      </c>
      <c r="DY83" s="224">
        <f t="shared" si="101"/>
        <v>0</v>
      </c>
      <c r="DZ83" s="222">
        <v>5694</v>
      </c>
      <c r="EA83" s="226" t="str">
        <f t="shared" si="102"/>
        <v xml:space="preserve"> </v>
      </c>
      <c r="EB83" s="312">
        <v>5694</v>
      </c>
      <c r="EC83" s="286">
        <f>DW83*Wirtschaftlichkeit!$S$5/Wirtschaftlichkeit!$S$7</f>
        <v>0</v>
      </c>
      <c r="ED83" s="284">
        <f t="shared" si="103"/>
        <v>0</v>
      </c>
      <c r="EF83" s="222">
        <v>5694</v>
      </c>
      <c r="EG83" s="225" t="str">
        <f>IF($C83&gt;=Wirtschaftlichkeit!$T$8,Wirtschaftlichkeit!$T$8,IF(AND($C83&lt;=Wirtschaftlichkeit!$T$8,$C83&gt;=Wirtschaftlichkeit!$T$8*Eingabemaske!$B$18),$C83,"0"))</f>
        <v>0</v>
      </c>
      <c r="EH83" s="222">
        <v>5694</v>
      </c>
      <c r="EI83" s="224">
        <f t="shared" si="104"/>
        <v>0</v>
      </c>
      <c r="EJ83" s="222">
        <v>5694</v>
      </c>
      <c r="EK83" s="226" t="str">
        <f t="shared" si="105"/>
        <v xml:space="preserve"> </v>
      </c>
      <c r="EL83" s="312">
        <v>5694</v>
      </c>
      <c r="EM83" s="286">
        <f>EG83*Wirtschaftlichkeit!$T$5/Wirtschaftlichkeit!$T$7</f>
        <v>0</v>
      </c>
      <c r="EN83" s="284">
        <f t="shared" si="106"/>
        <v>0</v>
      </c>
      <c r="EP83" s="222">
        <v>5694</v>
      </c>
      <c r="EQ83" s="225" t="str">
        <f>IF($C83&gt;=Wirtschaftlichkeit!$U$8,Wirtschaftlichkeit!$U$8,IF(AND($C83&lt;=Wirtschaftlichkeit!$U$8,$C83&gt;=Wirtschaftlichkeit!$U$8*Eingabemaske!$B$18),$C83,"0"))</f>
        <v>0</v>
      </c>
      <c r="ER83" s="222">
        <v>5694</v>
      </c>
      <c r="ES83" s="224">
        <f t="shared" si="107"/>
        <v>0</v>
      </c>
      <c r="ET83" s="222">
        <v>5694</v>
      </c>
      <c r="EU83" s="226" t="str">
        <f t="shared" si="108"/>
        <v xml:space="preserve"> </v>
      </c>
      <c r="EV83" s="312">
        <v>5694</v>
      </c>
      <c r="EW83" s="286">
        <f>EQ83*Wirtschaftlichkeit!$U$5/Wirtschaftlichkeit!$U$7</f>
        <v>0</v>
      </c>
      <c r="EX83" s="284">
        <f t="shared" si="109"/>
        <v>0</v>
      </c>
      <c r="EZ83" s="222">
        <v>5694</v>
      </c>
      <c r="FA83" s="225" t="str">
        <f>IF($C83&gt;=Wirtschaftlichkeit!$V$8,Wirtschaftlichkeit!$V$8,IF(AND($C83&lt;=Wirtschaftlichkeit!$V$8,$C83&gt;=Wirtschaftlichkeit!$V$8*Eingabemaske!$B$18),$C83,"0"))</f>
        <v>0</v>
      </c>
      <c r="FB83" s="222">
        <v>5694</v>
      </c>
      <c r="FC83" s="224">
        <f t="shared" si="110"/>
        <v>0</v>
      </c>
      <c r="FD83" s="222">
        <v>5694</v>
      </c>
      <c r="FE83" s="226" t="str">
        <f t="shared" si="111"/>
        <v xml:space="preserve"> </v>
      </c>
      <c r="FF83" s="312">
        <v>5694</v>
      </c>
      <c r="FG83" s="286">
        <f>FA83*Wirtschaftlichkeit!$V$5/Wirtschaftlichkeit!$V$7</f>
        <v>0</v>
      </c>
      <c r="FH83" s="284">
        <f t="shared" si="112"/>
        <v>0</v>
      </c>
      <c r="FJ83" s="222">
        <v>5694</v>
      </c>
      <c r="FK83" s="225" t="str">
        <f>IF($C83&gt;=Wirtschaftlichkeit!$W$8,Wirtschaftlichkeit!$W$8,IF(AND($C83&lt;=Wirtschaftlichkeit!$W$8,$C83&gt;=Wirtschaftlichkeit!$W$8*Eingabemaske!$B$18),$C83,"0"))</f>
        <v>0</v>
      </c>
      <c r="FL83" s="222">
        <v>5694</v>
      </c>
      <c r="FM83" s="224">
        <f t="shared" si="113"/>
        <v>0</v>
      </c>
      <c r="FN83" s="222">
        <v>5694</v>
      </c>
      <c r="FO83" s="226" t="str">
        <f t="shared" si="114"/>
        <v xml:space="preserve"> </v>
      </c>
      <c r="FP83" s="312">
        <v>5694</v>
      </c>
      <c r="FQ83" s="286">
        <f>FK83*Wirtschaftlichkeit!$W$5/Wirtschaftlichkeit!$W$7</f>
        <v>0</v>
      </c>
      <c r="FR83" s="284">
        <f t="shared" si="115"/>
        <v>0</v>
      </c>
      <c r="FT83" s="222">
        <v>5694</v>
      </c>
      <c r="FU83" s="225" t="str">
        <f>IF($C83&gt;=Wirtschaftlichkeit!$X$8,Wirtschaftlichkeit!$X$8,IF(AND($C83&lt;=Wirtschaftlichkeit!$X$8,$C83&gt;=Wirtschaftlichkeit!$X$8*Eingabemaske!$B$18),$C83,"0"))</f>
        <v>0</v>
      </c>
      <c r="FV83" s="222">
        <v>5694</v>
      </c>
      <c r="FW83" s="224">
        <f t="shared" si="116"/>
        <v>0</v>
      </c>
      <c r="FX83" s="222">
        <v>5694</v>
      </c>
      <c r="FY83" s="226" t="str">
        <f t="shared" si="117"/>
        <v xml:space="preserve"> </v>
      </c>
      <c r="FZ83" s="312">
        <v>5694</v>
      </c>
      <c r="GA83" s="286">
        <f>FU83*Wirtschaftlichkeit!$X$5/Wirtschaftlichkeit!$X$7</f>
        <v>0</v>
      </c>
      <c r="GB83" s="284">
        <f t="shared" si="118"/>
        <v>0</v>
      </c>
      <c r="GD83" s="222">
        <v>5694</v>
      </c>
      <c r="GE83" s="225" t="str">
        <f>IF($C83&gt;=Wirtschaftlichkeit!$Y$8,Wirtschaftlichkeit!$Y$8,IF(AND($C83&lt;=Wirtschaftlichkeit!$Y$8,$C83&gt;=Wirtschaftlichkeit!$Y$8*Eingabemaske!$B$18),$C83,"0"))</f>
        <v>0</v>
      </c>
      <c r="GF83" s="222">
        <v>5694</v>
      </c>
      <c r="GG83" s="224">
        <f t="shared" si="119"/>
        <v>0</v>
      </c>
      <c r="GH83" s="222">
        <v>5694</v>
      </c>
      <c r="GI83" s="226" t="str">
        <f t="shared" si="120"/>
        <v xml:space="preserve"> </v>
      </c>
      <c r="GJ83" s="312">
        <v>5694</v>
      </c>
      <c r="GK83" s="286">
        <f>GE83*Wirtschaftlichkeit!$Y$5/Wirtschaftlichkeit!$Y$7</f>
        <v>0</v>
      </c>
      <c r="GL83" s="284">
        <f t="shared" si="121"/>
        <v>0</v>
      </c>
      <c r="GN83" s="222">
        <v>5694</v>
      </c>
      <c r="GO83" s="225" t="str">
        <f>IF($C83&gt;=Wirtschaftlichkeit!$Z$8,Wirtschaftlichkeit!$Z$8,IF(AND($C83&lt;=Wirtschaftlichkeit!$Z$8,$C83&gt;=Wirtschaftlichkeit!$Z$8*Eingabemaske!$B$18),$C83,"0"))</f>
        <v>0</v>
      </c>
      <c r="GP83" s="222">
        <v>5694</v>
      </c>
      <c r="GQ83" s="224">
        <f t="shared" si="122"/>
        <v>0</v>
      </c>
      <c r="GR83" s="222">
        <v>5694</v>
      </c>
      <c r="GS83" s="226" t="str">
        <f t="shared" si="123"/>
        <v xml:space="preserve"> </v>
      </c>
      <c r="GT83" s="312">
        <v>5694</v>
      </c>
      <c r="GU83" s="286">
        <f>GO83*Wirtschaftlichkeit!$Z$5/Wirtschaftlichkeit!$Z$7</f>
        <v>0</v>
      </c>
      <c r="GV83" s="284">
        <f t="shared" si="124"/>
        <v>0</v>
      </c>
      <c r="GW83" s="266"/>
      <c r="GX83" s="258">
        <v>5694</v>
      </c>
      <c r="GY83" s="270" t="str">
        <f>IF(Berechnung_Diagramme!$C$28=Berechnungen_Lastgang!$F$2,Berechnungen_Lastgang!G83,IF(Berechnung_Diagramme!$C$28=Berechnungen_Lastgang!$P$2,Berechnungen_Lastgang!Q83,IF(Berechnung_Diagramme!$C$28=Berechnungen_Lastgang!$Z$2,Berechnungen_Lastgang!AA83,IF(Berechnung_Diagramme!$C$28=Berechnungen_Lastgang!$AJ$2,Berechnungen_Lastgang!AK83,IF(Berechnung_Diagramme!$C$28=Berechnungen_Lastgang!$AT$2,Berechnungen_Lastgang!AU83,IF(Berechnung_Diagramme!$C$28=Berechnungen_Lastgang!$BD$2,Berechnungen_Lastgang!BE83,IF(Berechnung_Diagramme!$C$28=Berechnungen_Lastgang!$BN$2,Berechnungen_Lastgang!BO83,IF(Berechnung_Diagramme!$C$28=Berechnungen_Lastgang!$BX$2,Berechnungen_Lastgang!BY83,IF(Berechnung_Diagramme!$C$28=Berechnungen_Lastgang!$CH$2,Berechnungen_Lastgang!CI83,IF(Berechnung_Diagramme!$C$28=Berechnungen_Lastgang!$CR$2,Berechnungen_Lastgang!CS83,IF(Berechnung_Diagramme!$C$28=Berechnungen_Lastgang!$DB$2,Berechnungen_Lastgang!DC83,IF(Berechnung_Diagramme!$C$28=Berechnungen_Lastgang!$DL$2,Berechnungen_Lastgang!DM83,IF(Berechnung_Diagramme!$C$28=Berechnungen_Lastgang!$DV$2,Berechnungen_Lastgang!DW83,IF(Berechnung_Diagramme!$C$28=Berechnungen_Lastgang!$EF$2,Berechnungen_Lastgang!EG83,IF(Berechnung_Diagramme!$C$28=Berechnungen_Lastgang!$EP$2,Berechnungen_Lastgang!EQ83,IF(Berechnung_Diagramme!$C$28=Berechnungen_Lastgang!$EZ$2,Berechnungen_Lastgang!FA83,IF(Berechnung_Diagramme!$C$28=Berechnungen_Lastgang!$FJ$2,Berechnungen_Lastgang!FK83,IF(Berechnung_Diagramme!$C$28=Berechnungen_Lastgang!$FT$2,Berechnungen_Lastgang!FU83,IF(Berechnung_Diagramme!$C$28=Berechnungen_Lastgang!$GD$2,Berechnungen_Lastgang!GE83,IF(Berechnung_Diagramme!$C$28=Berechnungen_Lastgang!$GN$2,Berechnungen_Lastgang!GO83,""))))))))))))))))))))</f>
        <v>0</v>
      </c>
    </row>
    <row r="84" spans="2:207" x14ac:dyDescent="0.25">
      <c r="B84" s="64">
        <v>5767</v>
      </c>
      <c r="C84" s="67">
        <f>C83+((C85-C83)/(B85-B83))*(B84-B83)</f>
        <v>7.0235099999999999</v>
      </c>
      <c r="D84" s="66">
        <f t="shared" si="64"/>
        <v>510.222915</v>
      </c>
      <c r="F84" s="64">
        <v>5767</v>
      </c>
      <c r="G84" s="225">
        <f>IF($C84&gt;=Wirtschaftlichkeit!$G$8,Wirtschaftlichkeit!$G$8,IF(AND($C84&lt;=Wirtschaftlichkeit!$G$8,$C84&gt;=Wirtschaftlichkeit!$G$8*Eingabemaske!$B$18),$C84,"0"))</f>
        <v>2.8333333333333335</v>
      </c>
      <c r="H84" s="64">
        <v>5767</v>
      </c>
      <c r="I84" s="66">
        <f t="shared" si="65"/>
        <v>206.83333333333334</v>
      </c>
      <c r="J84" s="64">
        <v>5767</v>
      </c>
      <c r="K84" s="71">
        <f t="shared" si="66"/>
        <v>2.8333333333333335</v>
      </c>
      <c r="L84" s="312">
        <v>5767</v>
      </c>
      <c r="M84" s="286">
        <f>G84*Wirtschaftlichkeit!$G$5/Wirtschaftlichkeit!$G$7</f>
        <v>1</v>
      </c>
      <c r="N84" s="284">
        <f t="shared" si="67"/>
        <v>73</v>
      </c>
      <c r="P84" s="222">
        <v>5767</v>
      </c>
      <c r="Q84" s="225">
        <f>IF($C84&gt;=Wirtschaftlichkeit!$H$8,Wirtschaftlichkeit!$H$8,IF(AND($C84&lt;=Wirtschaftlichkeit!$H$8,$C84&gt;=Wirtschaftlichkeit!$H$8*Eingabemaske!$B$18),$C84,"0"))</f>
        <v>5.5876288659793811</v>
      </c>
      <c r="R84" s="222">
        <v>5767</v>
      </c>
      <c r="S84" s="224">
        <f t="shared" si="68"/>
        <v>407.89690721649481</v>
      </c>
      <c r="T84" s="222">
        <v>5767</v>
      </c>
      <c r="U84" s="226">
        <f t="shared" si="69"/>
        <v>5.5876288659793811</v>
      </c>
      <c r="V84" s="312">
        <v>5767</v>
      </c>
      <c r="W84" s="286">
        <f>Q84*Wirtschaftlichkeit!$H$5/Wirtschaftlichkeit!$H$7</f>
        <v>2</v>
      </c>
      <c r="X84" s="284">
        <f t="shared" si="70"/>
        <v>146</v>
      </c>
      <c r="Z84" s="222">
        <v>5767</v>
      </c>
      <c r="AA84" s="225">
        <f>IF($C84&gt;=Wirtschaftlichkeit!$I$8,Wirtschaftlichkeit!$I$8,IF(AND($C84&lt;=Wirtschaftlichkeit!$I$8,$C84&gt;=Wirtschaftlichkeit!$I$8*Eingabemaske!$B$18),$C84,"0"))</f>
        <v>7.0235099999999999</v>
      </c>
      <c r="AB84" s="222">
        <v>5767</v>
      </c>
      <c r="AC84" s="224">
        <f t="shared" si="71"/>
        <v>510.222915</v>
      </c>
      <c r="AD84" s="222">
        <v>5767</v>
      </c>
      <c r="AE84" s="226">
        <f t="shared" si="72"/>
        <v>7.0235099999999999</v>
      </c>
      <c r="AF84" s="312">
        <v>5767</v>
      </c>
      <c r="AG84" s="286">
        <f>AA84*Wirtschaftlichkeit!$I$5/Wirtschaftlichkeit!$I$7</f>
        <v>2.5548817987960053</v>
      </c>
      <c r="AH84" s="284">
        <f t="shared" si="73"/>
        <v>185.59939956832713</v>
      </c>
      <c r="AJ84" s="222">
        <v>5767</v>
      </c>
      <c r="AK84" s="225">
        <f>IF($C84&gt;=Wirtschaftlichkeit!$J$8,Wirtschaftlichkeit!$J$8,IF(AND($C84&lt;=Wirtschaftlichkeit!$J$8,$C84&gt;=Wirtschaftlichkeit!$J$8*Eingabemaske!$B$18),$C84,"0"))</f>
        <v>7.0235099999999999</v>
      </c>
      <c r="AL84" s="222">
        <v>5767</v>
      </c>
      <c r="AM84" s="224">
        <f t="shared" si="74"/>
        <v>510.222915</v>
      </c>
      <c r="AN84" s="222">
        <v>5767</v>
      </c>
      <c r="AO84" s="226">
        <f t="shared" si="75"/>
        <v>7.0235099999999999</v>
      </c>
      <c r="AP84" s="312">
        <v>5767</v>
      </c>
      <c r="AQ84" s="286">
        <f>AK84*Wirtschaftlichkeit!$J$5/Wirtschaftlichkeit!$J$7</f>
        <v>2.6661123714347426</v>
      </c>
      <c r="AR84" s="284">
        <f t="shared" si="76"/>
        <v>193.67974500940372</v>
      </c>
      <c r="AT84" s="222">
        <v>5767</v>
      </c>
      <c r="AU84" s="225">
        <f>IF($C84&gt;=Wirtschaftlichkeit!$K$8,Wirtschaftlichkeit!$K$8,IF(AND($C84&lt;=Wirtschaftlichkeit!$K$8,$C84&gt;=Wirtschaftlichkeit!$K$8*Eingabemaske!$B$18),$C84,"0"))</f>
        <v>7.0235099999999999</v>
      </c>
      <c r="AV84" s="222">
        <v>5767</v>
      </c>
      <c r="AW84" s="224">
        <f t="shared" si="77"/>
        <v>510.222915</v>
      </c>
      <c r="AX84" s="222">
        <v>5767</v>
      </c>
      <c r="AY84" s="226">
        <f t="shared" si="78"/>
        <v>7.0235099999999999</v>
      </c>
      <c r="AZ84" s="312">
        <v>5767</v>
      </c>
      <c r="BA84" s="286">
        <f>AU84*Wirtschaftlichkeit!$K$5/Wirtschaftlichkeit!$K$7</f>
        <v>2.7566695365889013</v>
      </c>
      <c r="BB84" s="284">
        <f t="shared" si="79"/>
        <v>200.25827067236872</v>
      </c>
      <c r="BD84" s="222">
        <v>5767</v>
      </c>
      <c r="BE84" s="225" t="str">
        <f>IF($C84&gt;=Wirtschaftlichkeit!$L$8,Wirtschaftlichkeit!$L$8,IF(AND($C84&lt;=Wirtschaftlichkeit!$L$8,$C84&gt;=Wirtschaftlichkeit!$L$8*Eingabemaske!$B$18),$C84,"0"))</f>
        <v>0</v>
      </c>
      <c r="BF84" s="222">
        <v>5767</v>
      </c>
      <c r="BG84" s="224">
        <f t="shared" si="80"/>
        <v>0</v>
      </c>
      <c r="BH84" s="222">
        <v>5767</v>
      </c>
      <c r="BI84" s="226" t="str">
        <f t="shared" si="81"/>
        <v xml:space="preserve"> </v>
      </c>
      <c r="BJ84" s="312">
        <v>5767</v>
      </c>
      <c r="BK84" s="286">
        <f>BE84*Wirtschaftlichkeit!$L$5/Wirtschaftlichkeit!$L$7</f>
        <v>0</v>
      </c>
      <c r="BL84" s="284">
        <f t="shared" si="82"/>
        <v>0</v>
      </c>
      <c r="BN84" s="222">
        <v>5767</v>
      </c>
      <c r="BO84" s="225" t="str">
        <f>IF($C84&gt;=Wirtschaftlichkeit!$M$8,Wirtschaftlichkeit!$M$8,IF(AND($C84&lt;=Wirtschaftlichkeit!$M$8,$C84&gt;=Wirtschaftlichkeit!$M$8*Eingabemaske!$B$18),$C84,"0"))</f>
        <v>0</v>
      </c>
      <c r="BP84" s="222">
        <v>5767</v>
      </c>
      <c r="BQ84" s="224">
        <f t="shared" si="83"/>
        <v>0</v>
      </c>
      <c r="BR84" s="222">
        <v>5767</v>
      </c>
      <c r="BS84" s="226" t="str">
        <f t="shared" si="84"/>
        <v xml:space="preserve"> </v>
      </c>
      <c r="BT84" s="312">
        <v>5767</v>
      </c>
      <c r="BU84" s="286">
        <f>BO84*Wirtschaftlichkeit!$M$5/Wirtschaftlichkeit!$M$7</f>
        <v>0</v>
      </c>
      <c r="BV84" s="284">
        <f t="shared" si="85"/>
        <v>0</v>
      </c>
      <c r="BX84" s="222">
        <v>5767</v>
      </c>
      <c r="BY84" s="225" t="str">
        <f>IF($C84&gt;=Wirtschaftlichkeit!$N$8,Wirtschaftlichkeit!$N$8,IF(AND($C84&lt;=Wirtschaftlichkeit!$N$8,$C84&gt;=Wirtschaftlichkeit!$N$8*Eingabemaske!$B$18),$C84,"0"))</f>
        <v>0</v>
      </c>
      <c r="BZ84" s="222">
        <v>5767</v>
      </c>
      <c r="CA84" s="224">
        <f t="shared" si="86"/>
        <v>0</v>
      </c>
      <c r="CB84" s="222">
        <v>5767</v>
      </c>
      <c r="CC84" s="226" t="str">
        <f t="shared" si="87"/>
        <v xml:space="preserve"> </v>
      </c>
      <c r="CD84" s="312">
        <v>5767</v>
      </c>
      <c r="CE84" s="286">
        <f>BY84*Wirtschaftlichkeit!$N$5/Wirtschaftlichkeit!$N$7</f>
        <v>0</v>
      </c>
      <c r="CF84" s="284">
        <f t="shared" si="88"/>
        <v>0</v>
      </c>
      <c r="CH84" s="222">
        <v>5767</v>
      </c>
      <c r="CI84" s="225" t="str">
        <f>IF($C84&gt;=Wirtschaftlichkeit!$O$8,Wirtschaftlichkeit!$O$8,IF(AND($C84&lt;=Wirtschaftlichkeit!$O$8,$C84&gt;=Wirtschaftlichkeit!$O$8*Eingabemaske!$B$18),$C84,"0"))</f>
        <v>0</v>
      </c>
      <c r="CJ84" s="222">
        <v>5767</v>
      </c>
      <c r="CK84" s="224">
        <f t="shared" si="89"/>
        <v>0</v>
      </c>
      <c r="CL84" s="222">
        <v>5767</v>
      </c>
      <c r="CM84" s="226" t="str">
        <f t="shared" si="90"/>
        <v xml:space="preserve"> </v>
      </c>
      <c r="CN84" s="312">
        <v>5767</v>
      </c>
      <c r="CO84" s="286">
        <f>CI84*Wirtschaftlichkeit!$O$5/Wirtschaftlichkeit!$O$7</f>
        <v>0</v>
      </c>
      <c r="CP84" s="284">
        <f t="shared" si="91"/>
        <v>0</v>
      </c>
      <c r="CR84" s="222">
        <v>5767</v>
      </c>
      <c r="CS84" s="225" t="str">
        <f>IF($C84&gt;=Wirtschaftlichkeit!$P$8,Wirtschaftlichkeit!$P$8,IF(AND($C84&lt;=Wirtschaftlichkeit!$P$8,$C84&gt;=Wirtschaftlichkeit!$P$8*Eingabemaske!$B$18),$C84,"0"))</f>
        <v>0</v>
      </c>
      <c r="CT84" s="222">
        <v>5767</v>
      </c>
      <c r="CU84" s="224">
        <f t="shared" si="92"/>
        <v>0</v>
      </c>
      <c r="CV84" s="222">
        <v>5767</v>
      </c>
      <c r="CW84" s="226" t="str">
        <f t="shared" si="93"/>
        <v xml:space="preserve"> </v>
      </c>
      <c r="CX84" s="312">
        <v>5767</v>
      </c>
      <c r="CY84" s="286">
        <f>CS84*Wirtschaftlichkeit!$P$5/Wirtschaftlichkeit!$P$7</f>
        <v>0</v>
      </c>
      <c r="CZ84" s="284">
        <f t="shared" si="94"/>
        <v>0</v>
      </c>
      <c r="DB84" s="222">
        <v>5767</v>
      </c>
      <c r="DC84" s="225" t="str">
        <f>IF($C84&gt;=Wirtschaftlichkeit!$Q$8,Wirtschaftlichkeit!$Q$8,IF(AND($C84&lt;=Wirtschaftlichkeit!$Q$8,$C84&gt;=Wirtschaftlichkeit!$Q$8*Eingabemaske!$B$18),$C84,"0"))</f>
        <v>0</v>
      </c>
      <c r="DD84" s="222">
        <v>5767</v>
      </c>
      <c r="DE84" s="224">
        <f t="shared" si="95"/>
        <v>0</v>
      </c>
      <c r="DF84" s="222">
        <v>5767</v>
      </c>
      <c r="DG84" s="226" t="str">
        <f t="shared" si="96"/>
        <v xml:space="preserve"> </v>
      </c>
      <c r="DH84" s="312">
        <v>5767</v>
      </c>
      <c r="DI84" s="286">
        <f>DC84*Wirtschaftlichkeit!$Q$5/Wirtschaftlichkeit!$Q$7</f>
        <v>0</v>
      </c>
      <c r="DJ84" s="284">
        <f t="shared" si="97"/>
        <v>0</v>
      </c>
      <c r="DL84" s="222">
        <v>5767</v>
      </c>
      <c r="DM84" s="225" t="str">
        <f>IF($C84&gt;=Wirtschaftlichkeit!$R$8,Wirtschaftlichkeit!$R$8,IF(AND($C84&lt;=Wirtschaftlichkeit!$R$8,$C84&gt;=Wirtschaftlichkeit!$R$8*Eingabemaske!$B$18),$C84,"0"))</f>
        <v>0</v>
      </c>
      <c r="DN84" s="222">
        <v>5767</v>
      </c>
      <c r="DO84" s="224">
        <f t="shared" si="98"/>
        <v>0</v>
      </c>
      <c r="DP84" s="222">
        <v>5767</v>
      </c>
      <c r="DQ84" s="226" t="str">
        <f t="shared" si="99"/>
        <v xml:space="preserve"> </v>
      </c>
      <c r="DR84" s="312">
        <v>5767</v>
      </c>
      <c r="DS84" s="286">
        <f>DM84*Wirtschaftlichkeit!$R$5/Wirtschaftlichkeit!$R$7</f>
        <v>0</v>
      </c>
      <c r="DT84" s="284">
        <f t="shared" si="100"/>
        <v>0</v>
      </c>
      <c r="DV84" s="222">
        <v>5767</v>
      </c>
      <c r="DW84" s="225" t="str">
        <f>IF($C84&gt;=Wirtschaftlichkeit!$S$8,Wirtschaftlichkeit!$S$8,IF(AND($C84&lt;=Wirtschaftlichkeit!$S$8,$C84&gt;=Wirtschaftlichkeit!$S$8*Eingabemaske!$B$18),$C84,"0"))</f>
        <v>0</v>
      </c>
      <c r="DX84" s="222">
        <v>5767</v>
      </c>
      <c r="DY84" s="224">
        <f t="shared" si="101"/>
        <v>0</v>
      </c>
      <c r="DZ84" s="222">
        <v>5767</v>
      </c>
      <c r="EA84" s="226" t="str">
        <f t="shared" si="102"/>
        <v xml:space="preserve"> </v>
      </c>
      <c r="EB84" s="312">
        <v>5767</v>
      </c>
      <c r="EC84" s="286">
        <f>DW84*Wirtschaftlichkeit!$S$5/Wirtschaftlichkeit!$S$7</f>
        <v>0</v>
      </c>
      <c r="ED84" s="284">
        <f t="shared" si="103"/>
        <v>0</v>
      </c>
      <c r="EF84" s="222">
        <v>5767</v>
      </c>
      <c r="EG84" s="225" t="str">
        <f>IF($C84&gt;=Wirtschaftlichkeit!$T$8,Wirtschaftlichkeit!$T$8,IF(AND($C84&lt;=Wirtschaftlichkeit!$T$8,$C84&gt;=Wirtschaftlichkeit!$T$8*Eingabemaske!$B$18),$C84,"0"))</f>
        <v>0</v>
      </c>
      <c r="EH84" s="222">
        <v>5767</v>
      </c>
      <c r="EI84" s="224">
        <f t="shared" si="104"/>
        <v>0</v>
      </c>
      <c r="EJ84" s="222">
        <v>5767</v>
      </c>
      <c r="EK84" s="226" t="str">
        <f t="shared" si="105"/>
        <v xml:space="preserve"> </v>
      </c>
      <c r="EL84" s="312">
        <v>5767</v>
      </c>
      <c r="EM84" s="286">
        <f>EG84*Wirtschaftlichkeit!$T$5/Wirtschaftlichkeit!$T$7</f>
        <v>0</v>
      </c>
      <c r="EN84" s="284">
        <f t="shared" si="106"/>
        <v>0</v>
      </c>
      <c r="EP84" s="222">
        <v>5767</v>
      </c>
      <c r="EQ84" s="225" t="str">
        <f>IF($C84&gt;=Wirtschaftlichkeit!$U$8,Wirtschaftlichkeit!$U$8,IF(AND($C84&lt;=Wirtschaftlichkeit!$U$8,$C84&gt;=Wirtschaftlichkeit!$U$8*Eingabemaske!$B$18),$C84,"0"))</f>
        <v>0</v>
      </c>
      <c r="ER84" s="222">
        <v>5767</v>
      </c>
      <c r="ES84" s="224">
        <f t="shared" si="107"/>
        <v>0</v>
      </c>
      <c r="ET84" s="222">
        <v>5767</v>
      </c>
      <c r="EU84" s="226" t="str">
        <f t="shared" si="108"/>
        <v xml:space="preserve"> </v>
      </c>
      <c r="EV84" s="312">
        <v>5767</v>
      </c>
      <c r="EW84" s="286">
        <f>EQ84*Wirtschaftlichkeit!$U$5/Wirtschaftlichkeit!$U$7</f>
        <v>0</v>
      </c>
      <c r="EX84" s="284">
        <f t="shared" si="109"/>
        <v>0</v>
      </c>
      <c r="EZ84" s="222">
        <v>5767</v>
      </c>
      <c r="FA84" s="225" t="str">
        <f>IF($C84&gt;=Wirtschaftlichkeit!$V$8,Wirtschaftlichkeit!$V$8,IF(AND($C84&lt;=Wirtschaftlichkeit!$V$8,$C84&gt;=Wirtschaftlichkeit!$V$8*Eingabemaske!$B$18),$C84,"0"))</f>
        <v>0</v>
      </c>
      <c r="FB84" s="222">
        <v>5767</v>
      </c>
      <c r="FC84" s="224">
        <f t="shared" si="110"/>
        <v>0</v>
      </c>
      <c r="FD84" s="222">
        <v>5767</v>
      </c>
      <c r="FE84" s="226" t="str">
        <f t="shared" si="111"/>
        <v xml:space="preserve"> </v>
      </c>
      <c r="FF84" s="312">
        <v>5767</v>
      </c>
      <c r="FG84" s="286">
        <f>FA84*Wirtschaftlichkeit!$V$5/Wirtschaftlichkeit!$V$7</f>
        <v>0</v>
      </c>
      <c r="FH84" s="284">
        <f t="shared" si="112"/>
        <v>0</v>
      </c>
      <c r="FJ84" s="222">
        <v>5767</v>
      </c>
      <c r="FK84" s="225" t="str">
        <f>IF($C84&gt;=Wirtschaftlichkeit!$W$8,Wirtschaftlichkeit!$W$8,IF(AND($C84&lt;=Wirtschaftlichkeit!$W$8,$C84&gt;=Wirtschaftlichkeit!$W$8*Eingabemaske!$B$18),$C84,"0"))</f>
        <v>0</v>
      </c>
      <c r="FL84" s="222">
        <v>5767</v>
      </c>
      <c r="FM84" s="224">
        <f t="shared" si="113"/>
        <v>0</v>
      </c>
      <c r="FN84" s="222">
        <v>5767</v>
      </c>
      <c r="FO84" s="226" t="str">
        <f t="shared" si="114"/>
        <v xml:space="preserve"> </v>
      </c>
      <c r="FP84" s="312">
        <v>5767</v>
      </c>
      <c r="FQ84" s="286">
        <f>FK84*Wirtschaftlichkeit!$W$5/Wirtschaftlichkeit!$W$7</f>
        <v>0</v>
      </c>
      <c r="FR84" s="284">
        <f t="shared" si="115"/>
        <v>0</v>
      </c>
      <c r="FT84" s="222">
        <v>5767</v>
      </c>
      <c r="FU84" s="225" t="str">
        <f>IF($C84&gt;=Wirtschaftlichkeit!$X$8,Wirtschaftlichkeit!$X$8,IF(AND($C84&lt;=Wirtschaftlichkeit!$X$8,$C84&gt;=Wirtschaftlichkeit!$X$8*Eingabemaske!$B$18),$C84,"0"))</f>
        <v>0</v>
      </c>
      <c r="FV84" s="222">
        <v>5767</v>
      </c>
      <c r="FW84" s="224">
        <f t="shared" si="116"/>
        <v>0</v>
      </c>
      <c r="FX84" s="222">
        <v>5767</v>
      </c>
      <c r="FY84" s="226" t="str">
        <f t="shared" si="117"/>
        <v xml:space="preserve"> </v>
      </c>
      <c r="FZ84" s="312">
        <v>5767</v>
      </c>
      <c r="GA84" s="286">
        <f>FU84*Wirtschaftlichkeit!$X$5/Wirtschaftlichkeit!$X$7</f>
        <v>0</v>
      </c>
      <c r="GB84" s="284">
        <f t="shared" si="118"/>
        <v>0</v>
      </c>
      <c r="GD84" s="222">
        <v>5767</v>
      </c>
      <c r="GE84" s="225" t="str">
        <f>IF($C84&gt;=Wirtschaftlichkeit!$Y$8,Wirtschaftlichkeit!$Y$8,IF(AND($C84&lt;=Wirtschaftlichkeit!$Y$8,$C84&gt;=Wirtschaftlichkeit!$Y$8*Eingabemaske!$B$18),$C84,"0"))</f>
        <v>0</v>
      </c>
      <c r="GF84" s="222">
        <v>5767</v>
      </c>
      <c r="GG84" s="224">
        <f t="shared" si="119"/>
        <v>0</v>
      </c>
      <c r="GH84" s="222">
        <v>5767</v>
      </c>
      <c r="GI84" s="226" t="str">
        <f t="shared" si="120"/>
        <v xml:space="preserve"> </v>
      </c>
      <c r="GJ84" s="312">
        <v>5767</v>
      </c>
      <c r="GK84" s="286">
        <f>GE84*Wirtschaftlichkeit!$Y$5/Wirtschaftlichkeit!$Y$7</f>
        <v>0</v>
      </c>
      <c r="GL84" s="284">
        <f t="shared" si="121"/>
        <v>0</v>
      </c>
      <c r="GN84" s="222">
        <v>5767</v>
      </c>
      <c r="GO84" s="225" t="str">
        <f>IF($C84&gt;=Wirtschaftlichkeit!$Z$8,Wirtschaftlichkeit!$Z$8,IF(AND($C84&lt;=Wirtschaftlichkeit!$Z$8,$C84&gt;=Wirtschaftlichkeit!$Z$8*Eingabemaske!$B$18),$C84,"0"))</f>
        <v>0</v>
      </c>
      <c r="GP84" s="222">
        <v>5767</v>
      </c>
      <c r="GQ84" s="224">
        <f t="shared" si="122"/>
        <v>0</v>
      </c>
      <c r="GR84" s="222">
        <v>5767</v>
      </c>
      <c r="GS84" s="226" t="str">
        <f t="shared" si="123"/>
        <v xml:space="preserve"> </v>
      </c>
      <c r="GT84" s="312">
        <v>5767</v>
      </c>
      <c r="GU84" s="286">
        <f>GO84*Wirtschaftlichkeit!$Z$5/Wirtschaftlichkeit!$Z$7</f>
        <v>0</v>
      </c>
      <c r="GV84" s="284">
        <f t="shared" si="124"/>
        <v>0</v>
      </c>
      <c r="GW84" s="266"/>
      <c r="GX84" s="258">
        <v>5767</v>
      </c>
      <c r="GY84" s="270" t="str">
        <f>IF(Berechnung_Diagramme!$C$28=Berechnungen_Lastgang!$F$2,Berechnungen_Lastgang!G84,IF(Berechnung_Diagramme!$C$28=Berechnungen_Lastgang!$P$2,Berechnungen_Lastgang!Q84,IF(Berechnung_Diagramme!$C$28=Berechnungen_Lastgang!$Z$2,Berechnungen_Lastgang!AA84,IF(Berechnung_Diagramme!$C$28=Berechnungen_Lastgang!$AJ$2,Berechnungen_Lastgang!AK84,IF(Berechnung_Diagramme!$C$28=Berechnungen_Lastgang!$AT$2,Berechnungen_Lastgang!AU84,IF(Berechnung_Diagramme!$C$28=Berechnungen_Lastgang!$BD$2,Berechnungen_Lastgang!BE84,IF(Berechnung_Diagramme!$C$28=Berechnungen_Lastgang!$BN$2,Berechnungen_Lastgang!BO84,IF(Berechnung_Diagramme!$C$28=Berechnungen_Lastgang!$BX$2,Berechnungen_Lastgang!BY84,IF(Berechnung_Diagramme!$C$28=Berechnungen_Lastgang!$CH$2,Berechnungen_Lastgang!CI84,IF(Berechnung_Diagramme!$C$28=Berechnungen_Lastgang!$CR$2,Berechnungen_Lastgang!CS84,IF(Berechnung_Diagramme!$C$28=Berechnungen_Lastgang!$DB$2,Berechnungen_Lastgang!DC84,IF(Berechnung_Diagramme!$C$28=Berechnungen_Lastgang!$DL$2,Berechnungen_Lastgang!DM84,IF(Berechnung_Diagramme!$C$28=Berechnungen_Lastgang!$DV$2,Berechnungen_Lastgang!DW84,IF(Berechnung_Diagramme!$C$28=Berechnungen_Lastgang!$EF$2,Berechnungen_Lastgang!EG84,IF(Berechnung_Diagramme!$C$28=Berechnungen_Lastgang!$EP$2,Berechnungen_Lastgang!EQ84,IF(Berechnung_Diagramme!$C$28=Berechnungen_Lastgang!$EZ$2,Berechnungen_Lastgang!FA84,IF(Berechnung_Diagramme!$C$28=Berechnungen_Lastgang!$FJ$2,Berechnungen_Lastgang!FK84,IF(Berechnung_Diagramme!$C$28=Berechnungen_Lastgang!$FT$2,Berechnungen_Lastgang!FU84,IF(Berechnung_Diagramme!$C$28=Berechnungen_Lastgang!$GD$2,Berechnungen_Lastgang!GE84,IF(Berechnung_Diagramme!$C$28=Berechnungen_Lastgang!$GN$2,Berechnungen_Lastgang!GO84,""))))))))))))))))))))</f>
        <v>0</v>
      </c>
    </row>
    <row r="85" spans="2:207" x14ac:dyDescent="0.25">
      <c r="B85" s="64">
        <v>5840</v>
      </c>
      <c r="C85" s="67">
        <f>LARGE(Berechnung_Diagramme!$AB$5:$AB$16,9)</f>
        <v>6.9551999999999996</v>
      </c>
      <c r="D85" s="66">
        <f t="shared" si="64"/>
        <v>497.37856499999998</v>
      </c>
      <c r="F85" s="64">
        <v>5840</v>
      </c>
      <c r="G85" s="225">
        <f>IF($C85&gt;=Wirtschaftlichkeit!$G$8,Wirtschaftlichkeit!$G$8,IF(AND($C85&lt;=Wirtschaftlichkeit!$G$8,$C85&gt;=Wirtschaftlichkeit!$G$8*Eingabemaske!$B$18),$C85,"0"))</f>
        <v>2.8333333333333335</v>
      </c>
      <c r="H85" s="64">
        <v>5840</v>
      </c>
      <c r="I85" s="66">
        <f t="shared" si="65"/>
        <v>206.83333333333334</v>
      </c>
      <c r="J85" s="64">
        <v>5840</v>
      </c>
      <c r="K85" s="71">
        <f t="shared" si="66"/>
        <v>2.8333333333333335</v>
      </c>
      <c r="L85" s="312">
        <v>5840</v>
      </c>
      <c r="M85" s="286">
        <f>G85*Wirtschaftlichkeit!$G$5/Wirtschaftlichkeit!$G$7</f>
        <v>1</v>
      </c>
      <c r="N85" s="284">
        <f t="shared" si="67"/>
        <v>73</v>
      </c>
      <c r="P85" s="222">
        <v>5840</v>
      </c>
      <c r="Q85" s="225">
        <f>IF($C85&gt;=Wirtschaftlichkeit!$H$8,Wirtschaftlichkeit!$H$8,IF(AND($C85&lt;=Wirtschaftlichkeit!$H$8,$C85&gt;=Wirtschaftlichkeit!$H$8*Eingabemaske!$B$18),$C85,"0"))</f>
        <v>5.5876288659793811</v>
      </c>
      <c r="R85" s="222">
        <v>5840</v>
      </c>
      <c r="S85" s="224">
        <f t="shared" si="68"/>
        <v>407.89690721649481</v>
      </c>
      <c r="T85" s="222">
        <v>5840</v>
      </c>
      <c r="U85" s="226">
        <f t="shared" si="69"/>
        <v>5.5876288659793811</v>
      </c>
      <c r="V85" s="312">
        <v>5840</v>
      </c>
      <c r="W85" s="286">
        <f>Q85*Wirtschaftlichkeit!$H$5/Wirtschaftlichkeit!$H$7</f>
        <v>2</v>
      </c>
      <c r="X85" s="284">
        <f t="shared" si="70"/>
        <v>146</v>
      </c>
      <c r="Z85" s="222">
        <v>5840</v>
      </c>
      <c r="AA85" s="225">
        <f>IF($C85&gt;=Wirtschaftlichkeit!$I$8,Wirtschaftlichkeit!$I$8,IF(AND($C85&lt;=Wirtschaftlichkeit!$I$8,$C85&gt;=Wirtschaftlichkeit!$I$8*Eingabemaske!$B$18),$C85,"0"))</f>
        <v>6.9551999999999996</v>
      </c>
      <c r="AB85" s="222">
        <v>5840</v>
      </c>
      <c r="AC85" s="224">
        <f t="shared" si="71"/>
        <v>497.37856499999998</v>
      </c>
      <c r="AD85" s="222">
        <v>5840</v>
      </c>
      <c r="AE85" s="226">
        <f t="shared" si="72"/>
        <v>6.9551999999999996</v>
      </c>
      <c r="AF85" s="312">
        <v>5840</v>
      </c>
      <c r="AG85" s="286">
        <f>AA85*Wirtschaftlichkeit!$I$5/Wirtschaftlichkeit!$I$7</f>
        <v>2.5300332578704916</v>
      </c>
      <c r="AH85" s="284">
        <f t="shared" si="73"/>
        <v>180.92712088824189</v>
      </c>
      <c r="AJ85" s="222">
        <v>5840</v>
      </c>
      <c r="AK85" s="225">
        <f>IF($C85&gt;=Wirtschaftlichkeit!$J$8,Wirtschaftlichkeit!$J$8,IF(AND($C85&lt;=Wirtschaftlichkeit!$J$8,$C85&gt;=Wirtschaftlichkeit!$J$8*Eingabemaske!$B$18),$C85,"0"))</f>
        <v>6.9551999999999996</v>
      </c>
      <c r="AL85" s="222">
        <v>5840</v>
      </c>
      <c r="AM85" s="224">
        <f t="shared" si="74"/>
        <v>497.37856499999998</v>
      </c>
      <c r="AN85" s="222">
        <v>5840</v>
      </c>
      <c r="AO85" s="226">
        <f t="shared" si="75"/>
        <v>6.9551999999999996</v>
      </c>
      <c r="AP85" s="312">
        <v>5840</v>
      </c>
      <c r="AQ85" s="286">
        <f>AK85*Wirtschaftlichkeit!$J$5/Wirtschaftlichkeit!$J$7</f>
        <v>2.6401820123845372</v>
      </c>
      <c r="AR85" s="284">
        <f t="shared" si="76"/>
        <v>188.80405173950902</v>
      </c>
      <c r="AT85" s="222">
        <v>5840</v>
      </c>
      <c r="AU85" s="225">
        <f>IF($C85&gt;=Wirtschaftlichkeit!$K$8,Wirtschaftlichkeit!$K$8,IF(AND($C85&lt;=Wirtschaftlichkeit!$K$8,$C85&gt;=Wirtschaftlichkeit!$K$8*Eingabemaske!$B$18),$C85,"0"))</f>
        <v>6.9551999999999996</v>
      </c>
      <c r="AV85" s="222">
        <v>5840</v>
      </c>
      <c r="AW85" s="224">
        <f t="shared" si="77"/>
        <v>497.37856499999998</v>
      </c>
      <c r="AX85" s="222">
        <v>5840</v>
      </c>
      <c r="AY85" s="226">
        <f t="shared" si="78"/>
        <v>6.9551999999999996</v>
      </c>
      <c r="AZ85" s="312">
        <v>5840</v>
      </c>
      <c r="BA85" s="286">
        <f>AU85*Wirtschaftlichkeit!$K$5/Wirtschaftlichkeit!$K$7</f>
        <v>2.7298584270376387</v>
      </c>
      <c r="BB85" s="284">
        <f t="shared" si="79"/>
        <v>195.21696961886616</v>
      </c>
      <c r="BD85" s="222">
        <v>5840</v>
      </c>
      <c r="BE85" s="225" t="str">
        <f>IF($C85&gt;=Wirtschaftlichkeit!$L$8,Wirtschaftlichkeit!$L$8,IF(AND($C85&lt;=Wirtschaftlichkeit!$L$8,$C85&gt;=Wirtschaftlichkeit!$L$8*Eingabemaske!$B$18),$C85,"0"))</f>
        <v>0</v>
      </c>
      <c r="BF85" s="222">
        <v>5840</v>
      </c>
      <c r="BG85" s="224">
        <f t="shared" si="80"/>
        <v>0</v>
      </c>
      <c r="BH85" s="222">
        <v>5840</v>
      </c>
      <c r="BI85" s="226" t="str">
        <f t="shared" si="81"/>
        <v xml:space="preserve"> </v>
      </c>
      <c r="BJ85" s="312">
        <v>5840</v>
      </c>
      <c r="BK85" s="286">
        <f>BE85*Wirtschaftlichkeit!$L$5/Wirtschaftlichkeit!$L$7</f>
        <v>0</v>
      </c>
      <c r="BL85" s="284">
        <f t="shared" si="82"/>
        <v>0</v>
      </c>
      <c r="BN85" s="222">
        <v>5840</v>
      </c>
      <c r="BO85" s="225" t="str">
        <f>IF($C85&gt;=Wirtschaftlichkeit!$M$8,Wirtschaftlichkeit!$M$8,IF(AND($C85&lt;=Wirtschaftlichkeit!$M$8,$C85&gt;=Wirtschaftlichkeit!$M$8*Eingabemaske!$B$18),$C85,"0"))</f>
        <v>0</v>
      </c>
      <c r="BP85" s="222">
        <v>5840</v>
      </c>
      <c r="BQ85" s="224">
        <f t="shared" si="83"/>
        <v>0</v>
      </c>
      <c r="BR85" s="222">
        <v>5840</v>
      </c>
      <c r="BS85" s="226" t="str">
        <f t="shared" si="84"/>
        <v xml:space="preserve"> </v>
      </c>
      <c r="BT85" s="312">
        <v>5840</v>
      </c>
      <c r="BU85" s="286">
        <f>BO85*Wirtschaftlichkeit!$M$5/Wirtschaftlichkeit!$M$7</f>
        <v>0</v>
      </c>
      <c r="BV85" s="284">
        <f t="shared" si="85"/>
        <v>0</v>
      </c>
      <c r="BX85" s="222">
        <v>5840</v>
      </c>
      <c r="BY85" s="225" t="str">
        <f>IF($C85&gt;=Wirtschaftlichkeit!$N$8,Wirtschaftlichkeit!$N$8,IF(AND($C85&lt;=Wirtschaftlichkeit!$N$8,$C85&gt;=Wirtschaftlichkeit!$N$8*Eingabemaske!$B$18),$C85,"0"))</f>
        <v>0</v>
      </c>
      <c r="BZ85" s="222">
        <v>5840</v>
      </c>
      <c r="CA85" s="224">
        <f t="shared" si="86"/>
        <v>0</v>
      </c>
      <c r="CB85" s="222">
        <v>5840</v>
      </c>
      <c r="CC85" s="226" t="str">
        <f t="shared" si="87"/>
        <v xml:space="preserve"> </v>
      </c>
      <c r="CD85" s="312">
        <v>5840</v>
      </c>
      <c r="CE85" s="286">
        <f>BY85*Wirtschaftlichkeit!$N$5/Wirtschaftlichkeit!$N$7</f>
        <v>0</v>
      </c>
      <c r="CF85" s="284">
        <f t="shared" si="88"/>
        <v>0</v>
      </c>
      <c r="CH85" s="222">
        <v>5840</v>
      </c>
      <c r="CI85" s="225" t="str">
        <f>IF($C85&gt;=Wirtschaftlichkeit!$O$8,Wirtschaftlichkeit!$O$8,IF(AND($C85&lt;=Wirtschaftlichkeit!$O$8,$C85&gt;=Wirtschaftlichkeit!$O$8*Eingabemaske!$B$18),$C85,"0"))</f>
        <v>0</v>
      </c>
      <c r="CJ85" s="222">
        <v>5840</v>
      </c>
      <c r="CK85" s="224">
        <f t="shared" si="89"/>
        <v>0</v>
      </c>
      <c r="CL85" s="222">
        <v>5840</v>
      </c>
      <c r="CM85" s="226" t="str">
        <f t="shared" si="90"/>
        <v xml:space="preserve"> </v>
      </c>
      <c r="CN85" s="312">
        <v>5840</v>
      </c>
      <c r="CO85" s="286">
        <f>CI85*Wirtschaftlichkeit!$O$5/Wirtschaftlichkeit!$O$7</f>
        <v>0</v>
      </c>
      <c r="CP85" s="284">
        <f t="shared" si="91"/>
        <v>0</v>
      </c>
      <c r="CR85" s="222">
        <v>5840</v>
      </c>
      <c r="CS85" s="225" t="str">
        <f>IF($C85&gt;=Wirtschaftlichkeit!$P$8,Wirtschaftlichkeit!$P$8,IF(AND($C85&lt;=Wirtschaftlichkeit!$P$8,$C85&gt;=Wirtschaftlichkeit!$P$8*Eingabemaske!$B$18),$C85,"0"))</f>
        <v>0</v>
      </c>
      <c r="CT85" s="222">
        <v>5840</v>
      </c>
      <c r="CU85" s="224">
        <f t="shared" si="92"/>
        <v>0</v>
      </c>
      <c r="CV85" s="222">
        <v>5840</v>
      </c>
      <c r="CW85" s="226" t="str">
        <f t="shared" si="93"/>
        <v xml:space="preserve"> </v>
      </c>
      <c r="CX85" s="312">
        <v>5840</v>
      </c>
      <c r="CY85" s="286">
        <f>CS85*Wirtschaftlichkeit!$P$5/Wirtschaftlichkeit!$P$7</f>
        <v>0</v>
      </c>
      <c r="CZ85" s="284">
        <f t="shared" si="94"/>
        <v>0</v>
      </c>
      <c r="DB85" s="222">
        <v>5840</v>
      </c>
      <c r="DC85" s="225" t="str">
        <f>IF($C85&gt;=Wirtschaftlichkeit!$Q$8,Wirtschaftlichkeit!$Q$8,IF(AND($C85&lt;=Wirtschaftlichkeit!$Q$8,$C85&gt;=Wirtschaftlichkeit!$Q$8*Eingabemaske!$B$18),$C85,"0"))</f>
        <v>0</v>
      </c>
      <c r="DD85" s="222">
        <v>5840</v>
      </c>
      <c r="DE85" s="224">
        <f t="shared" si="95"/>
        <v>0</v>
      </c>
      <c r="DF85" s="222">
        <v>5840</v>
      </c>
      <c r="DG85" s="226" t="str">
        <f t="shared" si="96"/>
        <v xml:space="preserve"> </v>
      </c>
      <c r="DH85" s="312">
        <v>5840</v>
      </c>
      <c r="DI85" s="286">
        <f>DC85*Wirtschaftlichkeit!$Q$5/Wirtschaftlichkeit!$Q$7</f>
        <v>0</v>
      </c>
      <c r="DJ85" s="284">
        <f t="shared" si="97"/>
        <v>0</v>
      </c>
      <c r="DL85" s="222">
        <v>5840</v>
      </c>
      <c r="DM85" s="225" t="str">
        <f>IF($C85&gt;=Wirtschaftlichkeit!$R$8,Wirtschaftlichkeit!$R$8,IF(AND($C85&lt;=Wirtschaftlichkeit!$R$8,$C85&gt;=Wirtschaftlichkeit!$R$8*Eingabemaske!$B$18),$C85,"0"))</f>
        <v>0</v>
      </c>
      <c r="DN85" s="222">
        <v>5840</v>
      </c>
      <c r="DO85" s="224">
        <f t="shared" si="98"/>
        <v>0</v>
      </c>
      <c r="DP85" s="222">
        <v>5840</v>
      </c>
      <c r="DQ85" s="226" t="str">
        <f t="shared" si="99"/>
        <v xml:space="preserve"> </v>
      </c>
      <c r="DR85" s="312">
        <v>5840</v>
      </c>
      <c r="DS85" s="286">
        <f>DM85*Wirtschaftlichkeit!$R$5/Wirtschaftlichkeit!$R$7</f>
        <v>0</v>
      </c>
      <c r="DT85" s="284">
        <f t="shared" si="100"/>
        <v>0</v>
      </c>
      <c r="DV85" s="222">
        <v>5840</v>
      </c>
      <c r="DW85" s="225" t="str">
        <f>IF($C85&gt;=Wirtschaftlichkeit!$S$8,Wirtschaftlichkeit!$S$8,IF(AND($C85&lt;=Wirtschaftlichkeit!$S$8,$C85&gt;=Wirtschaftlichkeit!$S$8*Eingabemaske!$B$18),$C85,"0"))</f>
        <v>0</v>
      </c>
      <c r="DX85" s="222">
        <v>5840</v>
      </c>
      <c r="DY85" s="224">
        <f t="shared" si="101"/>
        <v>0</v>
      </c>
      <c r="DZ85" s="222">
        <v>5840</v>
      </c>
      <c r="EA85" s="226" t="str">
        <f t="shared" si="102"/>
        <v xml:space="preserve"> </v>
      </c>
      <c r="EB85" s="312">
        <v>5840</v>
      </c>
      <c r="EC85" s="286">
        <f>DW85*Wirtschaftlichkeit!$S$5/Wirtschaftlichkeit!$S$7</f>
        <v>0</v>
      </c>
      <c r="ED85" s="284">
        <f t="shared" si="103"/>
        <v>0</v>
      </c>
      <c r="EF85" s="222">
        <v>5840</v>
      </c>
      <c r="EG85" s="225" t="str">
        <f>IF($C85&gt;=Wirtschaftlichkeit!$T$8,Wirtschaftlichkeit!$T$8,IF(AND($C85&lt;=Wirtschaftlichkeit!$T$8,$C85&gt;=Wirtschaftlichkeit!$T$8*Eingabemaske!$B$18),$C85,"0"))</f>
        <v>0</v>
      </c>
      <c r="EH85" s="222">
        <v>5840</v>
      </c>
      <c r="EI85" s="224">
        <f t="shared" si="104"/>
        <v>0</v>
      </c>
      <c r="EJ85" s="222">
        <v>5840</v>
      </c>
      <c r="EK85" s="226" t="str">
        <f t="shared" si="105"/>
        <v xml:space="preserve"> </v>
      </c>
      <c r="EL85" s="312">
        <v>5840</v>
      </c>
      <c r="EM85" s="286">
        <f>EG85*Wirtschaftlichkeit!$T$5/Wirtschaftlichkeit!$T$7</f>
        <v>0</v>
      </c>
      <c r="EN85" s="284">
        <f t="shared" si="106"/>
        <v>0</v>
      </c>
      <c r="EP85" s="222">
        <v>5840</v>
      </c>
      <c r="EQ85" s="225" t="str">
        <f>IF($C85&gt;=Wirtschaftlichkeit!$U$8,Wirtschaftlichkeit!$U$8,IF(AND($C85&lt;=Wirtschaftlichkeit!$U$8,$C85&gt;=Wirtschaftlichkeit!$U$8*Eingabemaske!$B$18),$C85,"0"))</f>
        <v>0</v>
      </c>
      <c r="ER85" s="222">
        <v>5840</v>
      </c>
      <c r="ES85" s="224">
        <f t="shared" si="107"/>
        <v>0</v>
      </c>
      <c r="ET85" s="222">
        <v>5840</v>
      </c>
      <c r="EU85" s="226" t="str">
        <f t="shared" si="108"/>
        <v xml:space="preserve"> </v>
      </c>
      <c r="EV85" s="312">
        <v>5840</v>
      </c>
      <c r="EW85" s="286">
        <f>EQ85*Wirtschaftlichkeit!$U$5/Wirtschaftlichkeit!$U$7</f>
        <v>0</v>
      </c>
      <c r="EX85" s="284">
        <f t="shared" si="109"/>
        <v>0</v>
      </c>
      <c r="EZ85" s="222">
        <v>5840</v>
      </c>
      <c r="FA85" s="225" t="str">
        <f>IF($C85&gt;=Wirtschaftlichkeit!$V$8,Wirtschaftlichkeit!$V$8,IF(AND($C85&lt;=Wirtschaftlichkeit!$V$8,$C85&gt;=Wirtschaftlichkeit!$V$8*Eingabemaske!$B$18),$C85,"0"))</f>
        <v>0</v>
      </c>
      <c r="FB85" s="222">
        <v>5840</v>
      </c>
      <c r="FC85" s="224">
        <f t="shared" si="110"/>
        <v>0</v>
      </c>
      <c r="FD85" s="222">
        <v>5840</v>
      </c>
      <c r="FE85" s="226" t="str">
        <f t="shared" si="111"/>
        <v xml:space="preserve"> </v>
      </c>
      <c r="FF85" s="312">
        <v>5840</v>
      </c>
      <c r="FG85" s="286">
        <f>FA85*Wirtschaftlichkeit!$V$5/Wirtschaftlichkeit!$V$7</f>
        <v>0</v>
      </c>
      <c r="FH85" s="284">
        <f t="shared" si="112"/>
        <v>0</v>
      </c>
      <c r="FJ85" s="222">
        <v>5840</v>
      </c>
      <c r="FK85" s="225" t="str">
        <f>IF($C85&gt;=Wirtschaftlichkeit!$W$8,Wirtschaftlichkeit!$W$8,IF(AND($C85&lt;=Wirtschaftlichkeit!$W$8,$C85&gt;=Wirtschaftlichkeit!$W$8*Eingabemaske!$B$18),$C85,"0"))</f>
        <v>0</v>
      </c>
      <c r="FL85" s="222">
        <v>5840</v>
      </c>
      <c r="FM85" s="224">
        <f t="shared" si="113"/>
        <v>0</v>
      </c>
      <c r="FN85" s="222">
        <v>5840</v>
      </c>
      <c r="FO85" s="226" t="str">
        <f t="shared" si="114"/>
        <v xml:space="preserve"> </v>
      </c>
      <c r="FP85" s="312">
        <v>5840</v>
      </c>
      <c r="FQ85" s="286">
        <f>FK85*Wirtschaftlichkeit!$W$5/Wirtschaftlichkeit!$W$7</f>
        <v>0</v>
      </c>
      <c r="FR85" s="284">
        <f t="shared" si="115"/>
        <v>0</v>
      </c>
      <c r="FT85" s="222">
        <v>5840</v>
      </c>
      <c r="FU85" s="225" t="str">
        <f>IF($C85&gt;=Wirtschaftlichkeit!$X$8,Wirtschaftlichkeit!$X$8,IF(AND($C85&lt;=Wirtschaftlichkeit!$X$8,$C85&gt;=Wirtschaftlichkeit!$X$8*Eingabemaske!$B$18),$C85,"0"))</f>
        <v>0</v>
      </c>
      <c r="FV85" s="222">
        <v>5840</v>
      </c>
      <c r="FW85" s="224">
        <f t="shared" si="116"/>
        <v>0</v>
      </c>
      <c r="FX85" s="222">
        <v>5840</v>
      </c>
      <c r="FY85" s="226" t="str">
        <f t="shared" si="117"/>
        <v xml:space="preserve"> </v>
      </c>
      <c r="FZ85" s="312">
        <v>5840</v>
      </c>
      <c r="GA85" s="286">
        <f>FU85*Wirtschaftlichkeit!$X$5/Wirtschaftlichkeit!$X$7</f>
        <v>0</v>
      </c>
      <c r="GB85" s="284">
        <f t="shared" si="118"/>
        <v>0</v>
      </c>
      <c r="GD85" s="222">
        <v>5840</v>
      </c>
      <c r="GE85" s="225" t="str">
        <f>IF($C85&gt;=Wirtschaftlichkeit!$Y$8,Wirtschaftlichkeit!$Y$8,IF(AND($C85&lt;=Wirtschaftlichkeit!$Y$8,$C85&gt;=Wirtschaftlichkeit!$Y$8*Eingabemaske!$B$18),$C85,"0"))</f>
        <v>0</v>
      </c>
      <c r="GF85" s="222">
        <v>5840</v>
      </c>
      <c r="GG85" s="224">
        <f t="shared" si="119"/>
        <v>0</v>
      </c>
      <c r="GH85" s="222">
        <v>5840</v>
      </c>
      <c r="GI85" s="226" t="str">
        <f t="shared" si="120"/>
        <v xml:space="preserve"> </v>
      </c>
      <c r="GJ85" s="312">
        <v>5840</v>
      </c>
      <c r="GK85" s="286">
        <f>GE85*Wirtschaftlichkeit!$Y$5/Wirtschaftlichkeit!$Y$7</f>
        <v>0</v>
      </c>
      <c r="GL85" s="284">
        <f t="shared" si="121"/>
        <v>0</v>
      </c>
      <c r="GN85" s="222">
        <v>5840</v>
      </c>
      <c r="GO85" s="225" t="str">
        <f>IF($C85&gt;=Wirtschaftlichkeit!$Z$8,Wirtschaftlichkeit!$Z$8,IF(AND($C85&lt;=Wirtschaftlichkeit!$Z$8,$C85&gt;=Wirtschaftlichkeit!$Z$8*Eingabemaske!$B$18),$C85,"0"))</f>
        <v>0</v>
      </c>
      <c r="GP85" s="222">
        <v>5840</v>
      </c>
      <c r="GQ85" s="224">
        <f t="shared" si="122"/>
        <v>0</v>
      </c>
      <c r="GR85" s="222">
        <v>5840</v>
      </c>
      <c r="GS85" s="226" t="str">
        <f t="shared" si="123"/>
        <v xml:space="preserve"> </v>
      </c>
      <c r="GT85" s="312">
        <v>5840</v>
      </c>
      <c r="GU85" s="286">
        <f>GO85*Wirtschaftlichkeit!$Z$5/Wirtschaftlichkeit!$Z$7</f>
        <v>0</v>
      </c>
      <c r="GV85" s="284">
        <f t="shared" si="124"/>
        <v>0</v>
      </c>
      <c r="GW85" s="266"/>
      <c r="GX85" s="258">
        <v>5840</v>
      </c>
      <c r="GY85" s="270" t="str">
        <f>IF(Berechnung_Diagramme!$C$28=Berechnungen_Lastgang!$F$2,Berechnungen_Lastgang!G85,IF(Berechnung_Diagramme!$C$28=Berechnungen_Lastgang!$P$2,Berechnungen_Lastgang!Q85,IF(Berechnung_Diagramme!$C$28=Berechnungen_Lastgang!$Z$2,Berechnungen_Lastgang!AA85,IF(Berechnung_Diagramme!$C$28=Berechnungen_Lastgang!$AJ$2,Berechnungen_Lastgang!AK85,IF(Berechnung_Diagramme!$C$28=Berechnungen_Lastgang!$AT$2,Berechnungen_Lastgang!AU85,IF(Berechnung_Diagramme!$C$28=Berechnungen_Lastgang!$BD$2,Berechnungen_Lastgang!BE85,IF(Berechnung_Diagramme!$C$28=Berechnungen_Lastgang!$BN$2,Berechnungen_Lastgang!BO85,IF(Berechnung_Diagramme!$C$28=Berechnungen_Lastgang!$BX$2,Berechnungen_Lastgang!BY85,IF(Berechnung_Diagramme!$C$28=Berechnungen_Lastgang!$CH$2,Berechnungen_Lastgang!CI85,IF(Berechnung_Diagramme!$C$28=Berechnungen_Lastgang!$CR$2,Berechnungen_Lastgang!CS85,IF(Berechnung_Diagramme!$C$28=Berechnungen_Lastgang!$DB$2,Berechnungen_Lastgang!DC85,IF(Berechnung_Diagramme!$C$28=Berechnungen_Lastgang!$DL$2,Berechnungen_Lastgang!DM85,IF(Berechnung_Diagramme!$C$28=Berechnungen_Lastgang!$DV$2,Berechnungen_Lastgang!DW85,IF(Berechnung_Diagramme!$C$28=Berechnungen_Lastgang!$EF$2,Berechnungen_Lastgang!EG85,IF(Berechnung_Diagramme!$C$28=Berechnungen_Lastgang!$EP$2,Berechnungen_Lastgang!EQ85,IF(Berechnung_Diagramme!$C$28=Berechnungen_Lastgang!$EZ$2,Berechnungen_Lastgang!FA85,IF(Berechnung_Diagramme!$C$28=Berechnungen_Lastgang!$FJ$2,Berechnungen_Lastgang!FK85,IF(Berechnung_Diagramme!$C$28=Berechnungen_Lastgang!$FT$2,Berechnungen_Lastgang!FU85,IF(Berechnung_Diagramme!$C$28=Berechnungen_Lastgang!$GD$2,Berechnungen_Lastgang!GE85,IF(Berechnung_Diagramme!$C$28=Berechnungen_Lastgang!$GN$2,Berechnungen_Lastgang!GO85,""))))))))))))))))))))</f>
        <v>0</v>
      </c>
    </row>
    <row r="86" spans="2:207" x14ac:dyDescent="0.25">
      <c r="B86" s="64">
        <v>5913</v>
      </c>
      <c r="C86" s="67">
        <f>C85+((C90-C85)/(B90-B85))*(B86-B85)</f>
        <v>6.6716099999999994</v>
      </c>
      <c r="D86" s="66">
        <f t="shared" si="64"/>
        <v>476.67649499999993</v>
      </c>
      <c r="F86" s="64">
        <v>5913</v>
      </c>
      <c r="G86" s="225">
        <f>IF($C86&gt;=Wirtschaftlichkeit!$G$8,Wirtschaftlichkeit!$G$8,IF(AND($C86&lt;=Wirtschaftlichkeit!$G$8,$C86&gt;=Wirtschaftlichkeit!$G$8*Eingabemaske!$B$18),$C86,"0"))</f>
        <v>2.8333333333333335</v>
      </c>
      <c r="H86" s="64">
        <v>5913</v>
      </c>
      <c r="I86" s="66">
        <f t="shared" si="65"/>
        <v>206.83333333333334</v>
      </c>
      <c r="J86" s="64">
        <v>5913</v>
      </c>
      <c r="K86" s="71">
        <f t="shared" si="66"/>
        <v>2.8333333333333335</v>
      </c>
      <c r="L86" s="312">
        <v>5913</v>
      </c>
      <c r="M86" s="286">
        <f>G86*Wirtschaftlichkeit!$G$5/Wirtschaftlichkeit!$G$7</f>
        <v>1</v>
      </c>
      <c r="N86" s="284">
        <f t="shared" si="67"/>
        <v>73</v>
      </c>
      <c r="P86" s="222">
        <v>5913</v>
      </c>
      <c r="Q86" s="225">
        <f>IF($C86&gt;=Wirtschaftlichkeit!$H$8,Wirtschaftlichkeit!$H$8,IF(AND($C86&lt;=Wirtschaftlichkeit!$H$8,$C86&gt;=Wirtschaftlichkeit!$H$8*Eingabemaske!$B$18),$C86,"0"))</f>
        <v>5.5876288659793811</v>
      </c>
      <c r="R86" s="222">
        <v>5913</v>
      </c>
      <c r="S86" s="224">
        <f t="shared" si="68"/>
        <v>407.89690721649481</v>
      </c>
      <c r="T86" s="222">
        <v>5913</v>
      </c>
      <c r="U86" s="226">
        <f t="shared" si="69"/>
        <v>5.5876288659793811</v>
      </c>
      <c r="V86" s="312">
        <v>5913</v>
      </c>
      <c r="W86" s="286">
        <f>Q86*Wirtschaftlichkeit!$H$5/Wirtschaftlichkeit!$H$7</f>
        <v>2</v>
      </c>
      <c r="X86" s="284">
        <f t="shared" si="70"/>
        <v>146</v>
      </c>
      <c r="Z86" s="222">
        <v>5913</v>
      </c>
      <c r="AA86" s="225">
        <f>IF($C86&gt;=Wirtschaftlichkeit!$I$8,Wirtschaftlichkeit!$I$8,IF(AND($C86&lt;=Wirtschaftlichkeit!$I$8,$C86&gt;=Wirtschaftlichkeit!$I$8*Eingabemaske!$B$18),$C86,"0"))</f>
        <v>6.6716099999999994</v>
      </c>
      <c r="AB86" s="222">
        <v>5913</v>
      </c>
      <c r="AC86" s="224">
        <f t="shared" si="71"/>
        <v>476.67649499999993</v>
      </c>
      <c r="AD86" s="222">
        <v>5913</v>
      </c>
      <c r="AE86" s="226">
        <f t="shared" si="72"/>
        <v>6.6716099999999994</v>
      </c>
      <c r="AF86" s="312">
        <v>5913</v>
      </c>
      <c r="AG86" s="286">
        <f>AA86*Wirtschaftlichkeit!$I$5/Wirtschaftlichkeit!$I$7</f>
        <v>2.4268741637251767</v>
      </c>
      <c r="AH86" s="284">
        <f t="shared" si="73"/>
        <v>173.39650701563392</v>
      </c>
      <c r="AJ86" s="222">
        <v>5913</v>
      </c>
      <c r="AK86" s="225">
        <f>IF($C86&gt;=Wirtschaftlichkeit!$J$8,Wirtschaftlichkeit!$J$8,IF(AND($C86&lt;=Wirtschaftlichkeit!$J$8,$C86&gt;=Wirtschaftlichkeit!$J$8*Eingabemaske!$B$18),$C86,"0"))</f>
        <v>6.6716099999999994</v>
      </c>
      <c r="AL86" s="222">
        <v>5913</v>
      </c>
      <c r="AM86" s="224">
        <f t="shared" si="74"/>
        <v>476.67649499999993</v>
      </c>
      <c r="AN86" s="222">
        <v>5913</v>
      </c>
      <c r="AO86" s="226">
        <f t="shared" si="75"/>
        <v>6.6716099999999994</v>
      </c>
      <c r="AP86" s="312">
        <v>5913</v>
      </c>
      <c r="AQ86" s="286">
        <f>AK86*Wirtschaftlichkeit!$J$5/Wirtschaftlichkeit!$J$7</f>
        <v>2.5325317339033817</v>
      </c>
      <c r="AR86" s="284">
        <f t="shared" si="76"/>
        <v>180.9455814103847</v>
      </c>
      <c r="AT86" s="222">
        <v>5913</v>
      </c>
      <c r="AU86" s="225">
        <f>IF($C86&gt;=Wirtschaftlichkeit!$K$8,Wirtschaftlichkeit!$K$8,IF(AND($C86&lt;=Wirtschaftlichkeit!$K$8,$C86&gt;=Wirtschaftlichkeit!$K$8*Eingabemaske!$B$18),$C86,"0"))</f>
        <v>6.6716099999999994</v>
      </c>
      <c r="AV86" s="222">
        <v>5913</v>
      </c>
      <c r="AW86" s="224">
        <f t="shared" si="77"/>
        <v>476.67649499999993</v>
      </c>
      <c r="AX86" s="222">
        <v>5913</v>
      </c>
      <c r="AY86" s="226">
        <f t="shared" si="78"/>
        <v>6.6716099999999994</v>
      </c>
      <c r="AZ86" s="312">
        <v>5913</v>
      </c>
      <c r="BA86" s="286">
        <f>AU86*Wirtschaftlichkeit!$K$5/Wirtschaftlichkeit!$K$7</f>
        <v>2.6185516995066394</v>
      </c>
      <c r="BB86" s="284">
        <f t="shared" si="79"/>
        <v>187.09157850910321</v>
      </c>
      <c r="BD86" s="222">
        <v>5913</v>
      </c>
      <c r="BE86" s="225" t="str">
        <f>IF($C86&gt;=Wirtschaftlichkeit!$L$8,Wirtschaftlichkeit!$L$8,IF(AND($C86&lt;=Wirtschaftlichkeit!$L$8,$C86&gt;=Wirtschaftlichkeit!$L$8*Eingabemaske!$B$18),$C86,"0"))</f>
        <v>0</v>
      </c>
      <c r="BF86" s="222">
        <v>5913</v>
      </c>
      <c r="BG86" s="224">
        <f t="shared" si="80"/>
        <v>0</v>
      </c>
      <c r="BH86" s="222">
        <v>5913</v>
      </c>
      <c r="BI86" s="226" t="str">
        <f t="shared" si="81"/>
        <v xml:space="preserve"> </v>
      </c>
      <c r="BJ86" s="312">
        <v>5913</v>
      </c>
      <c r="BK86" s="286">
        <f>BE86*Wirtschaftlichkeit!$L$5/Wirtschaftlichkeit!$L$7</f>
        <v>0</v>
      </c>
      <c r="BL86" s="284">
        <f t="shared" si="82"/>
        <v>0</v>
      </c>
      <c r="BN86" s="222">
        <v>5913</v>
      </c>
      <c r="BO86" s="225" t="str">
        <f>IF($C86&gt;=Wirtschaftlichkeit!$M$8,Wirtschaftlichkeit!$M$8,IF(AND($C86&lt;=Wirtschaftlichkeit!$M$8,$C86&gt;=Wirtschaftlichkeit!$M$8*Eingabemaske!$B$18),$C86,"0"))</f>
        <v>0</v>
      </c>
      <c r="BP86" s="222">
        <v>5913</v>
      </c>
      <c r="BQ86" s="224">
        <f t="shared" si="83"/>
        <v>0</v>
      </c>
      <c r="BR86" s="222">
        <v>5913</v>
      </c>
      <c r="BS86" s="226" t="str">
        <f t="shared" si="84"/>
        <v xml:space="preserve"> </v>
      </c>
      <c r="BT86" s="312">
        <v>5913</v>
      </c>
      <c r="BU86" s="286">
        <f>BO86*Wirtschaftlichkeit!$M$5/Wirtschaftlichkeit!$M$7</f>
        <v>0</v>
      </c>
      <c r="BV86" s="284">
        <f t="shared" si="85"/>
        <v>0</v>
      </c>
      <c r="BX86" s="222">
        <v>5913</v>
      </c>
      <c r="BY86" s="225" t="str">
        <f>IF($C86&gt;=Wirtschaftlichkeit!$N$8,Wirtschaftlichkeit!$N$8,IF(AND($C86&lt;=Wirtschaftlichkeit!$N$8,$C86&gt;=Wirtschaftlichkeit!$N$8*Eingabemaske!$B$18),$C86,"0"))</f>
        <v>0</v>
      </c>
      <c r="BZ86" s="222">
        <v>5913</v>
      </c>
      <c r="CA86" s="224">
        <f t="shared" si="86"/>
        <v>0</v>
      </c>
      <c r="CB86" s="222">
        <v>5913</v>
      </c>
      <c r="CC86" s="226" t="str">
        <f t="shared" si="87"/>
        <v xml:space="preserve"> </v>
      </c>
      <c r="CD86" s="312">
        <v>5913</v>
      </c>
      <c r="CE86" s="286">
        <f>BY86*Wirtschaftlichkeit!$N$5/Wirtschaftlichkeit!$N$7</f>
        <v>0</v>
      </c>
      <c r="CF86" s="284">
        <f t="shared" si="88"/>
        <v>0</v>
      </c>
      <c r="CH86" s="222">
        <v>5913</v>
      </c>
      <c r="CI86" s="225" t="str">
        <f>IF($C86&gt;=Wirtschaftlichkeit!$O$8,Wirtschaftlichkeit!$O$8,IF(AND($C86&lt;=Wirtschaftlichkeit!$O$8,$C86&gt;=Wirtschaftlichkeit!$O$8*Eingabemaske!$B$18),$C86,"0"))</f>
        <v>0</v>
      </c>
      <c r="CJ86" s="222">
        <v>5913</v>
      </c>
      <c r="CK86" s="224">
        <f t="shared" si="89"/>
        <v>0</v>
      </c>
      <c r="CL86" s="222">
        <v>5913</v>
      </c>
      <c r="CM86" s="226" t="str">
        <f t="shared" si="90"/>
        <v xml:space="preserve"> </v>
      </c>
      <c r="CN86" s="312">
        <v>5913</v>
      </c>
      <c r="CO86" s="286">
        <f>CI86*Wirtschaftlichkeit!$O$5/Wirtschaftlichkeit!$O$7</f>
        <v>0</v>
      </c>
      <c r="CP86" s="284">
        <f t="shared" si="91"/>
        <v>0</v>
      </c>
      <c r="CR86" s="222">
        <v>5913</v>
      </c>
      <c r="CS86" s="225" t="str">
        <f>IF($C86&gt;=Wirtschaftlichkeit!$P$8,Wirtschaftlichkeit!$P$8,IF(AND($C86&lt;=Wirtschaftlichkeit!$P$8,$C86&gt;=Wirtschaftlichkeit!$P$8*Eingabemaske!$B$18),$C86,"0"))</f>
        <v>0</v>
      </c>
      <c r="CT86" s="222">
        <v>5913</v>
      </c>
      <c r="CU86" s="224">
        <f t="shared" si="92"/>
        <v>0</v>
      </c>
      <c r="CV86" s="222">
        <v>5913</v>
      </c>
      <c r="CW86" s="226" t="str">
        <f t="shared" si="93"/>
        <v xml:space="preserve"> </v>
      </c>
      <c r="CX86" s="312">
        <v>5913</v>
      </c>
      <c r="CY86" s="286">
        <f>CS86*Wirtschaftlichkeit!$P$5/Wirtschaftlichkeit!$P$7</f>
        <v>0</v>
      </c>
      <c r="CZ86" s="284">
        <f t="shared" si="94"/>
        <v>0</v>
      </c>
      <c r="DB86" s="222">
        <v>5913</v>
      </c>
      <c r="DC86" s="225" t="str">
        <f>IF($C86&gt;=Wirtschaftlichkeit!$Q$8,Wirtschaftlichkeit!$Q$8,IF(AND($C86&lt;=Wirtschaftlichkeit!$Q$8,$C86&gt;=Wirtschaftlichkeit!$Q$8*Eingabemaske!$B$18),$C86,"0"))</f>
        <v>0</v>
      </c>
      <c r="DD86" s="222">
        <v>5913</v>
      </c>
      <c r="DE86" s="224">
        <f t="shared" si="95"/>
        <v>0</v>
      </c>
      <c r="DF86" s="222">
        <v>5913</v>
      </c>
      <c r="DG86" s="226" t="str">
        <f t="shared" si="96"/>
        <v xml:space="preserve"> </v>
      </c>
      <c r="DH86" s="312">
        <v>5913</v>
      </c>
      <c r="DI86" s="286">
        <f>DC86*Wirtschaftlichkeit!$Q$5/Wirtschaftlichkeit!$Q$7</f>
        <v>0</v>
      </c>
      <c r="DJ86" s="284">
        <f t="shared" si="97"/>
        <v>0</v>
      </c>
      <c r="DL86" s="222">
        <v>5913</v>
      </c>
      <c r="DM86" s="225" t="str">
        <f>IF($C86&gt;=Wirtschaftlichkeit!$R$8,Wirtschaftlichkeit!$R$8,IF(AND($C86&lt;=Wirtschaftlichkeit!$R$8,$C86&gt;=Wirtschaftlichkeit!$R$8*Eingabemaske!$B$18),$C86,"0"))</f>
        <v>0</v>
      </c>
      <c r="DN86" s="222">
        <v>5913</v>
      </c>
      <c r="DO86" s="224">
        <f t="shared" si="98"/>
        <v>0</v>
      </c>
      <c r="DP86" s="222">
        <v>5913</v>
      </c>
      <c r="DQ86" s="226" t="str">
        <f t="shared" si="99"/>
        <v xml:space="preserve"> </v>
      </c>
      <c r="DR86" s="312">
        <v>5913</v>
      </c>
      <c r="DS86" s="286">
        <f>DM86*Wirtschaftlichkeit!$R$5/Wirtschaftlichkeit!$R$7</f>
        <v>0</v>
      </c>
      <c r="DT86" s="284">
        <f t="shared" si="100"/>
        <v>0</v>
      </c>
      <c r="DV86" s="222">
        <v>5913</v>
      </c>
      <c r="DW86" s="225" t="str">
        <f>IF($C86&gt;=Wirtschaftlichkeit!$S$8,Wirtschaftlichkeit!$S$8,IF(AND($C86&lt;=Wirtschaftlichkeit!$S$8,$C86&gt;=Wirtschaftlichkeit!$S$8*Eingabemaske!$B$18),$C86,"0"))</f>
        <v>0</v>
      </c>
      <c r="DX86" s="222">
        <v>5913</v>
      </c>
      <c r="DY86" s="224">
        <f t="shared" si="101"/>
        <v>0</v>
      </c>
      <c r="DZ86" s="222">
        <v>5913</v>
      </c>
      <c r="EA86" s="226" t="str">
        <f t="shared" si="102"/>
        <v xml:space="preserve"> </v>
      </c>
      <c r="EB86" s="312">
        <v>5913</v>
      </c>
      <c r="EC86" s="286">
        <f>DW86*Wirtschaftlichkeit!$S$5/Wirtschaftlichkeit!$S$7</f>
        <v>0</v>
      </c>
      <c r="ED86" s="284">
        <f t="shared" si="103"/>
        <v>0</v>
      </c>
      <c r="EF86" s="222">
        <v>5913</v>
      </c>
      <c r="EG86" s="225" t="str">
        <f>IF($C86&gt;=Wirtschaftlichkeit!$T$8,Wirtschaftlichkeit!$T$8,IF(AND($C86&lt;=Wirtschaftlichkeit!$T$8,$C86&gt;=Wirtschaftlichkeit!$T$8*Eingabemaske!$B$18),$C86,"0"))</f>
        <v>0</v>
      </c>
      <c r="EH86" s="222">
        <v>5913</v>
      </c>
      <c r="EI86" s="224">
        <f t="shared" si="104"/>
        <v>0</v>
      </c>
      <c r="EJ86" s="222">
        <v>5913</v>
      </c>
      <c r="EK86" s="226" t="str">
        <f t="shared" si="105"/>
        <v xml:space="preserve"> </v>
      </c>
      <c r="EL86" s="312">
        <v>5913</v>
      </c>
      <c r="EM86" s="286">
        <f>EG86*Wirtschaftlichkeit!$T$5/Wirtschaftlichkeit!$T$7</f>
        <v>0</v>
      </c>
      <c r="EN86" s="284">
        <f t="shared" si="106"/>
        <v>0</v>
      </c>
      <c r="EP86" s="222">
        <v>5913</v>
      </c>
      <c r="EQ86" s="225" t="str">
        <f>IF($C86&gt;=Wirtschaftlichkeit!$U$8,Wirtschaftlichkeit!$U$8,IF(AND($C86&lt;=Wirtschaftlichkeit!$U$8,$C86&gt;=Wirtschaftlichkeit!$U$8*Eingabemaske!$B$18),$C86,"0"))</f>
        <v>0</v>
      </c>
      <c r="ER86" s="222">
        <v>5913</v>
      </c>
      <c r="ES86" s="224">
        <f t="shared" si="107"/>
        <v>0</v>
      </c>
      <c r="ET86" s="222">
        <v>5913</v>
      </c>
      <c r="EU86" s="226" t="str">
        <f t="shared" si="108"/>
        <v xml:space="preserve"> </v>
      </c>
      <c r="EV86" s="312">
        <v>5913</v>
      </c>
      <c r="EW86" s="286">
        <f>EQ86*Wirtschaftlichkeit!$U$5/Wirtschaftlichkeit!$U$7</f>
        <v>0</v>
      </c>
      <c r="EX86" s="284">
        <f t="shared" si="109"/>
        <v>0</v>
      </c>
      <c r="EZ86" s="222">
        <v>5913</v>
      </c>
      <c r="FA86" s="225" t="str">
        <f>IF($C86&gt;=Wirtschaftlichkeit!$V$8,Wirtschaftlichkeit!$V$8,IF(AND($C86&lt;=Wirtschaftlichkeit!$V$8,$C86&gt;=Wirtschaftlichkeit!$V$8*Eingabemaske!$B$18),$C86,"0"))</f>
        <v>0</v>
      </c>
      <c r="FB86" s="222">
        <v>5913</v>
      </c>
      <c r="FC86" s="224">
        <f t="shared" si="110"/>
        <v>0</v>
      </c>
      <c r="FD86" s="222">
        <v>5913</v>
      </c>
      <c r="FE86" s="226" t="str">
        <f t="shared" si="111"/>
        <v xml:space="preserve"> </v>
      </c>
      <c r="FF86" s="312">
        <v>5913</v>
      </c>
      <c r="FG86" s="286">
        <f>FA86*Wirtschaftlichkeit!$V$5/Wirtschaftlichkeit!$V$7</f>
        <v>0</v>
      </c>
      <c r="FH86" s="284">
        <f t="shared" si="112"/>
        <v>0</v>
      </c>
      <c r="FJ86" s="222">
        <v>5913</v>
      </c>
      <c r="FK86" s="225" t="str">
        <f>IF($C86&gt;=Wirtschaftlichkeit!$W$8,Wirtschaftlichkeit!$W$8,IF(AND($C86&lt;=Wirtschaftlichkeit!$W$8,$C86&gt;=Wirtschaftlichkeit!$W$8*Eingabemaske!$B$18),$C86,"0"))</f>
        <v>0</v>
      </c>
      <c r="FL86" s="222">
        <v>5913</v>
      </c>
      <c r="FM86" s="224">
        <f t="shared" si="113"/>
        <v>0</v>
      </c>
      <c r="FN86" s="222">
        <v>5913</v>
      </c>
      <c r="FO86" s="226" t="str">
        <f t="shared" si="114"/>
        <v xml:space="preserve"> </v>
      </c>
      <c r="FP86" s="312">
        <v>5913</v>
      </c>
      <c r="FQ86" s="286">
        <f>FK86*Wirtschaftlichkeit!$W$5/Wirtschaftlichkeit!$W$7</f>
        <v>0</v>
      </c>
      <c r="FR86" s="284">
        <f t="shared" si="115"/>
        <v>0</v>
      </c>
      <c r="FT86" s="222">
        <v>5913</v>
      </c>
      <c r="FU86" s="225" t="str">
        <f>IF($C86&gt;=Wirtschaftlichkeit!$X$8,Wirtschaftlichkeit!$X$8,IF(AND($C86&lt;=Wirtschaftlichkeit!$X$8,$C86&gt;=Wirtschaftlichkeit!$X$8*Eingabemaske!$B$18),$C86,"0"))</f>
        <v>0</v>
      </c>
      <c r="FV86" s="222">
        <v>5913</v>
      </c>
      <c r="FW86" s="224">
        <f t="shared" si="116"/>
        <v>0</v>
      </c>
      <c r="FX86" s="222">
        <v>5913</v>
      </c>
      <c r="FY86" s="226" t="str">
        <f t="shared" si="117"/>
        <v xml:space="preserve"> </v>
      </c>
      <c r="FZ86" s="312">
        <v>5913</v>
      </c>
      <c r="GA86" s="286">
        <f>FU86*Wirtschaftlichkeit!$X$5/Wirtschaftlichkeit!$X$7</f>
        <v>0</v>
      </c>
      <c r="GB86" s="284">
        <f t="shared" si="118"/>
        <v>0</v>
      </c>
      <c r="GD86" s="222">
        <v>5913</v>
      </c>
      <c r="GE86" s="225" t="str">
        <f>IF($C86&gt;=Wirtschaftlichkeit!$Y$8,Wirtschaftlichkeit!$Y$8,IF(AND($C86&lt;=Wirtschaftlichkeit!$Y$8,$C86&gt;=Wirtschaftlichkeit!$Y$8*Eingabemaske!$B$18),$C86,"0"))</f>
        <v>0</v>
      </c>
      <c r="GF86" s="222">
        <v>5913</v>
      </c>
      <c r="GG86" s="224">
        <f t="shared" si="119"/>
        <v>0</v>
      </c>
      <c r="GH86" s="222">
        <v>5913</v>
      </c>
      <c r="GI86" s="226" t="str">
        <f t="shared" si="120"/>
        <v xml:space="preserve"> </v>
      </c>
      <c r="GJ86" s="312">
        <v>5913</v>
      </c>
      <c r="GK86" s="286">
        <f>GE86*Wirtschaftlichkeit!$Y$5/Wirtschaftlichkeit!$Y$7</f>
        <v>0</v>
      </c>
      <c r="GL86" s="284">
        <f t="shared" si="121"/>
        <v>0</v>
      </c>
      <c r="GN86" s="222">
        <v>5913</v>
      </c>
      <c r="GO86" s="225" t="str">
        <f>IF($C86&gt;=Wirtschaftlichkeit!$Z$8,Wirtschaftlichkeit!$Z$8,IF(AND($C86&lt;=Wirtschaftlichkeit!$Z$8,$C86&gt;=Wirtschaftlichkeit!$Z$8*Eingabemaske!$B$18),$C86,"0"))</f>
        <v>0</v>
      </c>
      <c r="GP86" s="222">
        <v>5913</v>
      </c>
      <c r="GQ86" s="224">
        <f t="shared" si="122"/>
        <v>0</v>
      </c>
      <c r="GR86" s="222">
        <v>5913</v>
      </c>
      <c r="GS86" s="226" t="str">
        <f t="shared" si="123"/>
        <v xml:space="preserve"> </v>
      </c>
      <c r="GT86" s="312">
        <v>5913</v>
      </c>
      <c r="GU86" s="286">
        <f>GO86*Wirtschaftlichkeit!$Z$5/Wirtschaftlichkeit!$Z$7</f>
        <v>0</v>
      </c>
      <c r="GV86" s="284">
        <f t="shared" si="124"/>
        <v>0</v>
      </c>
      <c r="GW86" s="266"/>
      <c r="GX86" s="258">
        <v>5913</v>
      </c>
      <c r="GY86" s="270" t="str">
        <f>IF(Berechnung_Diagramme!$C$28=Berechnungen_Lastgang!$F$2,Berechnungen_Lastgang!G86,IF(Berechnung_Diagramme!$C$28=Berechnungen_Lastgang!$P$2,Berechnungen_Lastgang!Q86,IF(Berechnung_Diagramme!$C$28=Berechnungen_Lastgang!$Z$2,Berechnungen_Lastgang!AA86,IF(Berechnung_Diagramme!$C$28=Berechnungen_Lastgang!$AJ$2,Berechnungen_Lastgang!AK86,IF(Berechnung_Diagramme!$C$28=Berechnungen_Lastgang!$AT$2,Berechnungen_Lastgang!AU86,IF(Berechnung_Diagramme!$C$28=Berechnungen_Lastgang!$BD$2,Berechnungen_Lastgang!BE86,IF(Berechnung_Diagramme!$C$28=Berechnungen_Lastgang!$BN$2,Berechnungen_Lastgang!BO86,IF(Berechnung_Diagramme!$C$28=Berechnungen_Lastgang!$BX$2,Berechnungen_Lastgang!BY86,IF(Berechnung_Diagramme!$C$28=Berechnungen_Lastgang!$CH$2,Berechnungen_Lastgang!CI86,IF(Berechnung_Diagramme!$C$28=Berechnungen_Lastgang!$CR$2,Berechnungen_Lastgang!CS86,IF(Berechnung_Diagramme!$C$28=Berechnungen_Lastgang!$DB$2,Berechnungen_Lastgang!DC86,IF(Berechnung_Diagramme!$C$28=Berechnungen_Lastgang!$DL$2,Berechnungen_Lastgang!DM86,IF(Berechnung_Diagramme!$C$28=Berechnungen_Lastgang!$DV$2,Berechnungen_Lastgang!DW86,IF(Berechnung_Diagramme!$C$28=Berechnungen_Lastgang!$EF$2,Berechnungen_Lastgang!EG86,IF(Berechnung_Diagramme!$C$28=Berechnungen_Lastgang!$EP$2,Berechnungen_Lastgang!EQ86,IF(Berechnung_Diagramme!$C$28=Berechnungen_Lastgang!$EZ$2,Berechnungen_Lastgang!FA86,IF(Berechnung_Diagramme!$C$28=Berechnungen_Lastgang!$FJ$2,Berechnungen_Lastgang!FK86,IF(Berechnung_Diagramme!$C$28=Berechnungen_Lastgang!$FT$2,Berechnungen_Lastgang!FU86,IF(Berechnung_Diagramme!$C$28=Berechnungen_Lastgang!$GD$2,Berechnungen_Lastgang!GE86,IF(Berechnung_Diagramme!$C$28=Berechnungen_Lastgang!$GN$2,Berechnungen_Lastgang!GO86,""))))))))))))))))))))</f>
        <v>0</v>
      </c>
    </row>
    <row r="87" spans="2:207" x14ac:dyDescent="0.25">
      <c r="B87" s="64">
        <v>5986</v>
      </c>
      <c r="C87" s="67">
        <f>C86+((C90-C86)/(B90-B86))*(B87-B86)</f>
        <v>6.3880199999999991</v>
      </c>
      <c r="D87" s="66">
        <f t="shared" si="64"/>
        <v>455.97442499999994</v>
      </c>
      <c r="F87" s="64">
        <v>5986</v>
      </c>
      <c r="G87" s="225">
        <f>IF($C87&gt;=Wirtschaftlichkeit!$G$8,Wirtschaftlichkeit!$G$8,IF(AND($C87&lt;=Wirtschaftlichkeit!$G$8,$C87&gt;=Wirtschaftlichkeit!$G$8*Eingabemaske!$B$18),$C87,"0"))</f>
        <v>2.8333333333333335</v>
      </c>
      <c r="H87" s="64">
        <v>5986</v>
      </c>
      <c r="I87" s="66">
        <f t="shared" si="65"/>
        <v>206.83333333333334</v>
      </c>
      <c r="J87" s="64">
        <v>5986</v>
      </c>
      <c r="K87" s="71">
        <f t="shared" si="66"/>
        <v>2.8333333333333335</v>
      </c>
      <c r="L87" s="312">
        <v>5986</v>
      </c>
      <c r="M87" s="286">
        <f>G87*Wirtschaftlichkeit!$G$5/Wirtschaftlichkeit!$G$7</f>
        <v>1</v>
      </c>
      <c r="N87" s="284">
        <f t="shared" si="67"/>
        <v>73</v>
      </c>
      <c r="P87" s="222">
        <v>5986</v>
      </c>
      <c r="Q87" s="225">
        <f>IF($C87&gt;=Wirtschaftlichkeit!$H$8,Wirtschaftlichkeit!$H$8,IF(AND($C87&lt;=Wirtschaftlichkeit!$H$8,$C87&gt;=Wirtschaftlichkeit!$H$8*Eingabemaske!$B$18),$C87,"0"))</f>
        <v>5.5876288659793811</v>
      </c>
      <c r="R87" s="222">
        <v>5986</v>
      </c>
      <c r="S87" s="224">
        <f t="shared" si="68"/>
        <v>407.89690721649481</v>
      </c>
      <c r="T87" s="222">
        <v>5986</v>
      </c>
      <c r="U87" s="226">
        <f t="shared" si="69"/>
        <v>5.5876288659793811</v>
      </c>
      <c r="V87" s="312">
        <v>5986</v>
      </c>
      <c r="W87" s="286">
        <f>Q87*Wirtschaftlichkeit!$H$5/Wirtschaftlichkeit!$H$7</f>
        <v>2</v>
      </c>
      <c r="X87" s="284">
        <f t="shared" si="70"/>
        <v>146</v>
      </c>
      <c r="Z87" s="222">
        <v>5986</v>
      </c>
      <c r="AA87" s="225">
        <f>IF($C87&gt;=Wirtschaftlichkeit!$I$8,Wirtschaftlichkeit!$I$8,IF(AND($C87&lt;=Wirtschaftlichkeit!$I$8,$C87&gt;=Wirtschaftlichkeit!$I$8*Eingabemaske!$B$18),$C87,"0"))</f>
        <v>6.3880199999999991</v>
      </c>
      <c r="AB87" s="222">
        <v>5986</v>
      </c>
      <c r="AC87" s="224">
        <f t="shared" si="71"/>
        <v>455.97442499999994</v>
      </c>
      <c r="AD87" s="222">
        <v>5986</v>
      </c>
      <c r="AE87" s="226">
        <f t="shared" si="72"/>
        <v>6.3880199999999991</v>
      </c>
      <c r="AF87" s="312">
        <v>5986</v>
      </c>
      <c r="AG87" s="286">
        <f>AA87*Wirtschaftlichkeit!$I$5/Wirtschaftlichkeit!$I$7</f>
        <v>2.3237150695798618</v>
      </c>
      <c r="AH87" s="284">
        <f t="shared" si="73"/>
        <v>165.86589314302594</v>
      </c>
      <c r="AJ87" s="222">
        <v>5986</v>
      </c>
      <c r="AK87" s="225">
        <f>IF($C87&gt;=Wirtschaftlichkeit!$J$8,Wirtschaftlichkeit!$J$8,IF(AND($C87&lt;=Wirtschaftlichkeit!$J$8,$C87&gt;=Wirtschaftlichkeit!$J$8*Eingabemaske!$B$18),$C87,"0"))</f>
        <v>6.3880199999999991</v>
      </c>
      <c r="AL87" s="222">
        <v>5986</v>
      </c>
      <c r="AM87" s="224">
        <f t="shared" si="74"/>
        <v>455.97442499999994</v>
      </c>
      <c r="AN87" s="222">
        <v>5986</v>
      </c>
      <c r="AO87" s="226">
        <f t="shared" si="75"/>
        <v>6.3880199999999991</v>
      </c>
      <c r="AP87" s="312">
        <v>5986</v>
      </c>
      <c r="AQ87" s="286">
        <f>AK87*Wirtschaftlichkeit!$J$5/Wirtschaftlichkeit!$J$7</f>
        <v>2.4248814554222262</v>
      </c>
      <c r="AR87" s="284">
        <f t="shared" si="76"/>
        <v>173.08711108126036</v>
      </c>
      <c r="AT87" s="222">
        <v>5986</v>
      </c>
      <c r="AU87" s="225">
        <f>IF($C87&gt;=Wirtschaftlichkeit!$K$8,Wirtschaftlichkeit!$K$8,IF(AND($C87&lt;=Wirtschaftlichkeit!$K$8,$C87&gt;=Wirtschaftlichkeit!$K$8*Eingabemaske!$B$18),$C87,"0"))</f>
        <v>6.3880199999999991</v>
      </c>
      <c r="AV87" s="222">
        <v>5986</v>
      </c>
      <c r="AW87" s="224">
        <f t="shared" si="77"/>
        <v>233.16272999999998</v>
      </c>
      <c r="AX87" s="222">
        <v>5986</v>
      </c>
      <c r="AY87" s="226">
        <f t="shared" si="78"/>
        <v>6.3880199999999991</v>
      </c>
      <c r="AZ87" s="312">
        <v>5986</v>
      </c>
      <c r="BA87" s="286">
        <f>AU87*Wirtschaftlichkeit!$K$5/Wirtschaftlichkeit!$K$7</f>
        <v>2.5072449719756404</v>
      </c>
      <c r="BB87" s="284">
        <f t="shared" si="79"/>
        <v>91.514441477110879</v>
      </c>
      <c r="BD87" s="222">
        <v>5986</v>
      </c>
      <c r="BE87" s="225" t="str">
        <f>IF($C87&gt;=Wirtschaftlichkeit!$L$8,Wirtschaftlichkeit!$L$8,IF(AND($C87&lt;=Wirtschaftlichkeit!$L$8,$C87&gt;=Wirtschaftlichkeit!$L$8*Eingabemaske!$B$18),$C87,"0"))</f>
        <v>0</v>
      </c>
      <c r="BF87" s="222">
        <v>5986</v>
      </c>
      <c r="BG87" s="224">
        <f t="shared" si="80"/>
        <v>0</v>
      </c>
      <c r="BH87" s="222">
        <v>5986</v>
      </c>
      <c r="BI87" s="226" t="str">
        <f t="shared" si="81"/>
        <v xml:space="preserve"> </v>
      </c>
      <c r="BJ87" s="312">
        <v>5986</v>
      </c>
      <c r="BK87" s="286">
        <f>BE87*Wirtschaftlichkeit!$L$5/Wirtschaftlichkeit!$L$7</f>
        <v>0</v>
      </c>
      <c r="BL87" s="284">
        <f t="shared" si="82"/>
        <v>0</v>
      </c>
      <c r="BN87" s="222">
        <v>5986</v>
      </c>
      <c r="BO87" s="225" t="str">
        <f>IF($C87&gt;=Wirtschaftlichkeit!$M$8,Wirtschaftlichkeit!$M$8,IF(AND($C87&lt;=Wirtschaftlichkeit!$M$8,$C87&gt;=Wirtschaftlichkeit!$M$8*Eingabemaske!$B$18),$C87,"0"))</f>
        <v>0</v>
      </c>
      <c r="BP87" s="222">
        <v>5986</v>
      </c>
      <c r="BQ87" s="224">
        <f t="shared" si="83"/>
        <v>0</v>
      </c>
      <c r="BR87" s="222">
        <v>5986</v>
      </c>
      <c r="BS87" s="226" t="str">
        <f t="shared" si="84"/>
        <v xml:space="preserve"> </v>
      </c>
      <c r="BT87" s="312">
        <v>5986</v>
      </c>
      <c r="BU87" s="286">
        <f>BO87*Wirtschaftlichkeit!$M$5/Wirtschaftlichkeit!$M$7</f>
        <v>0</v>
      </c>
      <c r="BV87" s="284">
        <f t="shared" si="85"/>
        <v>0</v>
      </c>
      <c r="BX87" s="222">
        <v>5986</v>
      </c>
      <c r="BY87" s="225" t="str">
        <f>IF($C87&gt;=Wirtschaftlichkeit!$N$8,Wirtschaftlichkeit!$N$8,IF(AND($C87&lt;=Wirtschaftlichkeit!$N$8,$C87&gt;=Wirtschaftlichkeit!$N$8*Eingabemaske!$B$18),$C87,"0"))</f>
        <v>0</v>
      </c>
      <c r="BZ87" s="222">
        <v>5986</v>
      </c>
      <c r="CA87" s="224">
        <f t="shared" si="86"/>
        <v>0</v>
      </c>
      <c r="CB87" s="222">
        <v>5986</v>
      </c>
      <c r="CC87" s="226" t="str">
        <f t="shared" si="87"/>
        <v xml:space="preserve"> </v>
      </c>
      <c r="CD87" s="312">
        <v>5986</v>
      </c>
      <c r="CE87" s="286">
        <f>BY87*Wirtschaftlichkeit!$N$5/Wirtschaftlichkeit!$N$7</f>
        <v>0</v>
      </c>
      <c r="CF87" s="284">
        <f t="shared" si="88"/>
        <v>0</v>
      </c>
      <c r="CH87" s="222">
        <v>5986</v>
      </c>
      <c r="CI87" s="225" t="str">
        <f>IF($C87&gt;=Wirtschaftlichkeit!$O$8,Wirtschaftlichkeit!$O$8,IF(AND($C87&lt;=Wirtschaftlichkeit!$O$8,$C87&gt;=Wirtschaftlichkeit!$O$8*Eingabemaske!$B$18),$C87,"0"))</f>
        <v>0</v>
      </c>
      <c r="CJ87" s="222">
        <v>5986</v>
      </c>
      <c r="CK87" s="224">
        <f t="shared" si="89"/>
        <v>0</v>
      </c>
      <c r="CL87" s="222">
        <v>5986</v>
      </c>
      <c r="CM87" s="226" t="str">
        <f t="shared" si="90"/>
        <v xml:space="preserve"> </v>
      </c>
      <c r="CN87" s="312">
        <v>5986</v>
      </c>
      <c r="CO87" s="286">
        <f>CI87*Wirtschaftlichkeit!$O$5/Wirtschaftlichkeit!$O$7</f>
        <v>0</v>
      </c>
      <c r="CP87" s="284">
        <f t="shared" si="91"/>
        <v>0</v>
      </c>
      <c r="CR87" s="222">
        <v>5986</v>
      </c>
      <c r="CS87" s="225" t="str">
        <f>IF($C87&gt;=Wirtschaftlichkeit!$P$8,Wirtschaftlichkeit!$P$8,IF(AND($C87&lt;=Wirtschaftlichkeit!$P$8,$C87&gt;=Wirtschaftlichkeit!$P$8*Eingabemaske!$B$18),$C87,"0"))</f>
        <v>0</v>
      </c>
      <c r="CT87" s="222">
        <v>5986</v>
      </c>
      <c r="CU87" s="224">
        <f t="shared" si="92"/>
        <v>0</v>
      </c>
      <c r="CV87" s="222">
        <v>5986</v>
      </c>
      <c r="CW87" s="226" t="str">
        <f t="shared" si="93"/>
        <v xml:space="preserve"> </v>
      </c>
      <c r="CX87" s="312">
        <v>5986</v>
      </c>
      <c r="CY87" s="286">
        <f>CS87*Wirtschaftlichkeit!$P$5/Wirtschaftlichkeit!$P$7</f>
        <v>0</v>
      </c>
      <c r="CZ87" s="284">
        <f t="shared" si="94"/>
        <v>0</v>
      </c>
      <c r="DB87" s="222">
        <v>5986</v>
      </c>
      <c r="DC87" s="225" t="str">
        <f>IF($C87&gt;=Wirtschaftlichkeit!$Q$8,Wirtschaftlichkeit!$Q$8,IF(AND($C87&lt;=Wirtschaftlichkeit!$Q$8,$C87&gt;=Wirtschaftlichkeit!$Q$8*Eingabemaske!$B$18),$C87,"0"))</f>
        <v>0</v>
      </c>
      <c r="DD87" s="222">
        <v>5986</v>
      </c>
      <c r="DE87" s="224">
        <f t="shared" si="95"/>
        <v>0</v>
      </c>
      <c r="DF87" s="222">
        <v>5986</v>
      </c>
      <c r="DG87" s="226" t="str">
        <f t="shared" si="96"/>
        <v xml:space="preserve"> </v>
      </c>
      <c r="DH87" s="312">
        <v>5986</v>
      </c>
      <c r="DI87" s="286">
        <f>DC87*Wirtschaftlichkeit!$Q$5/Wirtschaftlichkeit!$Q$7</f>
        <v>0</v>
      </c>
      <c r="DJ87" s="284">
        <f t="shared" si="97"/>
        <v>0</v>
      </c>
      <c r="DL87" s="222">
        <v>5986</v>
      </c>
      <c r="DM87" s="225" t="str">
        <f>IF($C87&gt;=Wirtschaftlichkeit!$R$8,Wirtschaftlichkeit!$R$8,IF(AND($C87&lt;=Wirtschaftlichkeit!$R$8,$C87&gt;=Wirtschaftlichkeit!$R$8*Eingabemaske!$B$18),$C87,"0"))</f>
        <v>0</v>
      </c>
      <c r="DN87" s="222">
        <v>5986</v>
      </c>
      <c r="DO87" s="224">
        <f t="shared" si="98"/>
        <v>0</v>
      </c>
      <c r="DP87" s="222">
        <v>5986</v>
      </c>
      <c r="DQ87" s="226" t="str">
        <f t="shared" si="99"/>
        <v xml:space="preserve"> </v>
      </c>
      <c r="DR87" s="312">
        <v>5986</v>
      </c>
      <c r="DS87" s="286">
        <f>DM87*Wirtschaftlichkeit!$R$5/Wirtschaftlichkeit!$R$7</f>
        <v>0</v>
      </c>
      <c r="DT87" s="284">
        <f t="shared" si="100"/>
        <v>0</v>
      </c>
      <c r="DV87" s="222">
        <v>5986</v>
      </c>
      <c r="DW87" s="225" t="str">
        <f>IF($C87&gt;=Wirtschaftlichkeit!$S$8,Wirtschaftlichkeit!$S$8,IF(AND($C87&lt;=Wirtschaftlichkeit!$S$8,$C87&gt;=Wirtschaftlichkeit!$S$8*Eingabemaske!$B$18),$C87,"0"))</f>
        <v>0</v>
      </c>
      <c r="DX87" s="222">
        <v>5986</v>
      </c>
      <c r="DY87" s="224">
        <f t="shared" si="101"/>
        <v>0</v>
      </c>
      <c r="DZ87" s="222">
        <v>5986</v>
      </c>
      <c r="EA87" s="226" t="str">
        <f t="shared" si="102"/>
        <v xml:space="preserve"> </v>
      </c>
      <c r="EB87" s="312">
        <v>5986</v>
      </c>
      <c r="EC87" s="286">
        <f>DW87*Wirtschaftlichkeit!$S$5/Wirtschaftlichkeit!$S$7</f>
        <v>0</v>
      </c>
      <c r="ED87" s="284">
        <f t="shared" si="103"/>
        <v>0</v>
      </c>
      <c r="EF87" s="222">
        <v>5986</v>
      </c>
      <c r="EG87" s="225" t="str">
        <f>IF($C87&gt;=Wirtschaftlichkeit!$T$8,Wirtschaftlichkeit!$T$8,IF(AND($C87&lt;=Wirtschaftlichkeit!$T$8,$C87&gt;=Wirtschaftlichkeit!$T$8*Eingabemaske!$B$18),$C87,"0"))</f>
        <v>0</v>
      </c>
      <c r="EH87" s="222">
        <v>5986</v>
      </c>
      <c r="EI87" s="224">
        <f t="shared" si="104"/>
        <v>0</v>
      </c>
      <c r="EJ87" s="222">
        <v>5986</v>
      </c>
      <c r="EK87" s="226" t="str">
        <f t="shared" si="105"/>
        <v xml:space="preserve"> </v>
      </c>
      <c r="EL87" s="312">
        <v>5986</v>
      </c>
      <c r="EM87" s="286">
        <f>EG87*Wirtschaftlichkeit!$T$5/Wirtschaftlichkeit!$T$7</f>
        <v>0</v>
      </c>
      <c r="EN87" s="284">
        <f t="shared" si="106"/>
        <v>0</v>
      </c>
      <c r="EP87" s="222">
        <v>5986</v>
      </c>
      <c r="EQ87" s="225" t="str">
        <f>IF($C87&gt;=Wirtschaftlichkeit!$U$8,Wirtschaftlichkeit!$U$8,IF(AND($C87&lt;=Wirtschaftlichkeit!$U$8,$C87&gt;=Wirtschaftlichkeit!$U$8*Eingabemaske!$B$18),$C87,"0"))</f>
        <v>0</v>
      </c>
      <c r="ER87" s="222">
        <v>5986</v>
      </c>
      <c r="ES87" s="224">
        <f t="shared" si="107"/>
        <v>0</v>
      </c>
      <c r="ET87" s="222">
        <v>5986</v>
      </c>
      <c r="EU87" s="226" t="str">
        <f t="shared" si="108"/>
        <v xml:space="preserve"> </v>
      </c>
      <c r="EV87" s="312">
        <v>5986</v>
      </c>
      <c r="EW87" s="286">
        <f>EQ87*Wirtschaftlichkeit!$U$5/Wirtschaftlichkeit!$U$7</f>
        <v>0</v>
      </c>
      <c r="EX87" s="284">
        <f t="shared" si="109"/>
        <v>0</v>
      </c>
      <c r="EZ87" s="222">
        <v>5986</v>
      </c>
      <c r="FA87" s="225" t="str">
        <f>IF($C87&gt;=Wirtschaftlichkeit!$V$8,Wirtschaftlichkeit!$V$8,IF(AND($C87&lt;=Wirtschaftlichkeit!$V$8,$C87&gt;=Wirtschaftlichkeit!$V$8*Eingabemaske!$B$18),$C87,"0"))</f>
        <v>0</v>
      </c>
      <c r="FB87" s="222">
        <v>5986</v>
      </c>
      <c r="FC87" s="224">
        <f t="shared" si="110"/>
        <v>0</v>
      </c>
      <c r="FD87" s="222">
        <v>5986</v>
      </c>
      <c r="FE87" s="226" t="str">
        <f t="shared" si="111"/>
        <v xml:space="preserve"> </v>
      </c>
      <c r="FF87" s="312">
        <v>5986</v>
      </c>
      <c r="FG87" s="286">
        <f>FA87*Wirtschaftlichkeit!$V$5/Wirtschaftlichkeit!$V$7</f>
        <v>0</v>
      </c>
      <c r="FH87" s="284">
        <f t="shared" si="112"/>
        <v>0</v>
      </c>
      <c r="FJ87" s="222">
        <v>5986</v>
      </c>
      <c r="FK87" s="225" t="str">
        <f>IF($C87&gt;=Wirtschaftlichkeit!$W$8,Wirtschaftlichkeit!$W$8,IF(AND($C87&lt;=Wirtschaftlichkeit!$W$8,$C87&gt;=Wirtschaftlichkeit!$W$8*Eingabemaske!$B$18),$C87,"0"))</f>
        <v>0</v>
      </c>
      <c r="FL87" s="222">
        <v>5986</v>
      </c>
      <c r="FM87" s="224">
        <f t="shared" si="113"/>
        <v>0</v>
      </c>
      <c r="FN87" s="222">
        <v>5986</v>
      </c>
      <c r="FO87" s="226" t="str">
        <f t="shared" si="114"/>
        <v xml:space="preserve"> </v>
      </c>
      <c r="FP87" s="312">
        <v>5986</v>
      </c>
      <c r="FQ87" s="286">
        <f>FK87*Wirtschaftlichkeit!$W$5/Wirtschaftlichkeit!$W$7</f>
        <v>0</v>
      </c>
      <c r="FR87" s="284">
        <f t="shared" si="115"/>
        <v>0</v>
      </c>
      <c r="FT87" s="222">
        <v>5986</v>
      </c>
      <c r="FU87" s="225" t="str">
        <f>IF($C87&gt;=Wirtschaftlichkeit!$X$8,Wirtschaftlichkeit!$X$8,IF(AND($C87&lt;=Wirtschaftlichkeit!$X$8,$C87&gt;=Wirtschaftlichkeit!$X$8*Eingabemaske!$B$18),$C87,"0"))</f>
        <v>0</v>
      </c>
      <c r="FV87" s="222">
        <v>5986</v>
      </c>
      <c r="FW87" s="224">
        <f t="shared" si="116"/>
        <v>0</v>
      </c>
      <c r="FX87" s="222">
        <v>5986</v>
      </c>
      <c r="FY87" s="226" t="str">
        <f t="shared" si="117"/>
        <v xml:space="preserve"> </v>
      </c>
      <c r="FZ87" s="312">
        <v>5986</v>
      </c>
      <c r="GA87" s="286">
        <f>FU87*Wirtschaftlichkeit!$X$5/Wirtschaftlichkeit!$X$7</f>
        <v>0</v>
      </c>
      <c r="GB87" s="284">
        <f t="shared" si="118"/>
        <v>0</v>
      </c>
      <c r="GD87" s="222">
        <v>5986</v>
      </c>
      <c r="GE87" s="225" t="str">
        <f>IF($C87&gt;=Wirtschaftlichkeit!$Y$8,Wirtschaftlichkeit!$Y$8,IF(AND($C87&lt;=Wirtschaftlichkeit!$Y$8,$C87&gt;=Wirtschaftlichkeit!$Y$8*Eingabemaske!$B$18),$C87,"0"))</f>
        <v>0</v>
      </c>
      <c r="GF87" s="222">
        <v>5986</v>
      </c>
      <c r="GG87" s="224">
        <f t="shared" si="119"/>
        <v>0</v>
      </c>
      <c r="GH87" s="222">
        <v>5986</v>
      </c>
      <c r="GI87" s="226" t="str">
        <f t="shared" si="120"/>
        <v xml:space="preserve"> </v>
      </c>
      <c r="GJ87" s="312">
        <v>5986</v>
      </c>
      <c r="GK87" s="286">
        <f>GE87*Wirtschaftlichkeit!$Y$5/Wirtschaftlichkeit!$Y$7</f>
        <v>0</v>
      </c>
      <c r="GL87" s="284">
        <f t="shared" si="121"/>
        <v>0</v>
      </c>
      <c r="GN87" s="222">
        <v>5986</v>
      </c>
      <c r="GO87" s="225" t="str">
        <f>IF($C87&gt;=Wirtschaftlichkeit!$Z$8,Wirtschaftlichkeit!$Z$8,IF(AND($C87&lt;=Wirtschaftlichkeit!$Z$8,$C87&gt;=Wirtschaftlichkeit!$Z$8*Eingabemaske!$B$18),$C87,"0"))</f>
        <v>0</v>
      </c>
      <c r="GP87" s="222">
        <v>5986</v>
      </c>
      <c r="GQ87" s="224">
        <f t="shared" si="122"/>
        <v>0</v>
      </c>
      <c r="GR87" s="222">
        <v>5986</v>
      </c>
      <c r="GS87" s="226" t="str">
        <f t="shared" si="123"/>
        <v xml:space="preserve"> </v>
      </c>
      <c r="GT87" s="312">
        <v>5986</v>
      </c>
      <c r="GU87" s="286">
        <f>GO87*Wirtschaftlichkeit!$Z$5/Wirtschaftlichkeit!$Z$7</f>
        <v>0</v>
      </c>
      <c r="GV87" s="284">
        <f t="shared" si="124"/>
        <v>0</v>
      </c>
      <c r="GW87" s="266"/>
      <c r="GX87" s="258">
        <v>5986</v>
      </c>
      <c r="GY87" s="270" t="str">
        <f>IF(Berechnung_Diagramme!$C$28=Berechnungen_Lastgang!$F$2,Berechnungen_Lastgang!G87,IF(Berechnung_Diagramme!$C$28=Berechnungen_Lastgang!$P$2,Berechnungen_Lastgang!Q87,IF(Berechnung_Diagramme!$C$28=Berechnungen_Lastgang!$Z$2,Berechnungen_Lastgang!AA87,IF(Berechnung_Diagramme!$C$28=Berechnungen_Lastgang!$AJ$2,Berechnungen_Lastgang!AK87,IF(Berechnung_Diagramme!$C$28=Berechnungen_Lastgang!$AT$2,Berechnungen_Lastgang!AU87,IF(Berechnung_Diagramme!$C$28=Berechnungen_Lastgang!$BD$2,Berechnungen_Lastgang!BE87,IF(Berechnung_Diagramme!$C$28=Berechnungen_Lastgang!$BN$2,Berechnungen_Lastgang!BO87,IF(Berechnung_Diagramme!$C$28=Berechnungen_Lastgang!$BX$2,Berechnungen_Lastgang!BY87,IF(Berechnung_Diagramme!$C$28=Berechnungen_Lastgang!$CH$2,Berechnungen_Lastgang!CI87,IF(Berechnung_Diagramme!$C$28=Berechnungen_Lastgang!$CR$2,Berechnungen_Lastgang!CS87,IF(Berechnung_Diagramme!$C$28=Berechnungen_Lastgang!$DB$2,Berechnungen_Lastgang!DC87,IF(Berechnung_Diagramme!$C$28=Berechnungen_Lastgang!$DL$2,Berechnungen_Lastgang!DM87,IF(Berechnung_Diagramme!$C$28=Berechnungen_Lastgang!$DV$2,Berechnungen_Lastgang!DW87,IF(Berechnung_Diagramme!$C$28=Berechnungen_Lastgang!$EF$2,Berechnungen_Lastgang!EG87,IF(Berechnung_Diagramme!$C$28=Berechnungen_Lastgang!$EP$2,Berechnungen_Lastgang!EQ87,IF(Berechnung_Diagramme!$C$28=Berechnungen_Lastgang!$EZ$2,Berechnungen_Lastgang!FA87,IF(Berechnung_Diagramme!$C$28=Berechnungen_Lastgang!$FJ$2,Berechnungen_Lastgang!FK87,IF(Berechnung_Diagramme!$C$28=Berechnungen_Lastgang!$FT$2,Berechnungen_Lastgang!FU87,IF(Berechnung_Diagramme!$C$28=Berechnungen_Lastgang!$GD$2,Berechnungen_Lastgang!GE87,IF(Berechnung_Diagramme!$C$28=Berechnungen_Lastgang!$GN$2,Berechnungen_Lastgang!GO87,""))))))))))))))))))))</f>
        <v>0</v>
      </c>
    </row>
    <row r="88" spans="2:207" x14ac:dyDescent="0.25">
      <c r="B88" s="64">
        <v>6059</v>
      </c>
      <c r="C88" s="67">
        <f>C87+((C90-C87)/(B90-B87))*(B88-B87)</f>
        <v>6.1044299999999998</v>
      </c>
      <c r="D88" s="66">
        <f t="shared" si="64"/>
        <v>435.27235500000006</v>
      </c>
      <c r="F88" s="64">
        <v>6059</v>
      </c>
      <c r="G88" s="225">
        <f>IF($C88&gt;=Wirtschaftlichkeit!$G$8,Wirtschaftlichkeit!$G$8,IF(AND($C88&lt;=Wirtschaftlichkeit!$G$8,$C88&gt;=Wirtschaftlichkeit!$G$8*Eingabemaske!$B$18),$C88,"0"))</f>
        <v>2.8333333333333335</v>
      </c>
      <c r="H88" s="64">
        <v>6059</v>
      </c>
      <c r="I88" s="66">
        <f t="shared" si="65"/>
        <v>206.83333333333334</v>
      </c>
      <c r="J88" s="64">
        <v>6059</v>
      </c>
      <c r="K88" s="71">
        <f>IF(G88="0"," ",G88)</f>
        <v>2.8333333333333335</v>
      </c>
      <c r="L88" s="312">
        <v>6059</v>
      </c>
      <c r="M88" s="286">
        <f>G88*Wirtschaftlichkeit!$G$5/Wirtschaftlichkeit!$G$7</f>
        <v>1</v>
      </c>
      <c r="N88" s="284">
        <f t="shared" si="67"/>
        <v>73</v>
      </c>
      <c r="P88" s="222">
        <v>6059</v>
      </c>
      <c r="Q88" s="225">
        <f>IF($C88&gt;=Wirtschaftlichkeit!$H$8,Wirtschaftlichkeit!$H$8,IF(AND($C88&lt;=Wirtschaftlichkeit!$H$8,$C88&gt;=Wirtschaftlichkeit!$H$8*Eingabemaske!$B$18),$C88,"0"))</f>
        <v>5.5876288659793811</v>
      </c>
      <c r="R88" s="222">
        <v>6059</v>
      </c>
      <c r="S88" s="224">
        <f t="shared" si="68"/>
        <v>407.89690721649481</v>
      </c>
      <c r="T88" s="222">
        <v>6059</v>
      </c>
      <c r="U88" s="226">
        <f>IF(Q88="0"," ",Q88)</f>
        <v>5.5876288659793811</v>
      </c>
      <c r="V88" s="312">
        <v>6059</v>
      </c>
      <c r="W88" s="286">
        <f>Q88*Wirtschaftlichkeit!$H$5/Wirtschaftlichkeit!$H$7</f>
        <v>2</v>
      </c>
      <c r="X88" s="284">
        <f t="shared" si="70"/>
        <v>146</v>
      </c>
      <c r="Z88" s="222">
        <v>6059</v>
      </c>
      <c r="AA88" s="225">
        <f>IF($C88&gt;=Wirtschaftlichkeit!$I$8,Wirtschaftlichkeit!$I$8,IF(AND($C88&lt;=Wirtschaftlichkeit!$I$8,$C88&gt;=Wirtschaftlichkeit!$I$8*Eingabemaske!$B$18),$C88,"0"))</f>
        <v>6.1044299999999998</v>
      </c>
      <c r="AB88" s="222">
        <v>6059</v>
      </c>
      <c r="AC88" s="224">
        <f t="shared" si="71"/>
        <v>435.27235500000006</v>
      </c>
      <c r="AD88" s="222">
        <v>6059</v>
      </c>
      <c r="AE88" s="226">
        <f>IF(AA88="0"," ",AA88)</f>
        <v>6.1044299999999998</v>
      </c>
      <c r="AF88" s="312">
        <v>6059</v>
      </c>
      <c r="AG88" s="286">
        <f>AA88*Wirtschaftlichkeit!$I$5/Wirtschaftlichkeit!$I$7</f>
        <v>2.2205559754345474</v>
      </c>
      <c r="AH88" s="284">
        <f t="shared" si="73"/>
        <v>158.33527927041797</v>
      </c>
      <c r="AJ88" s="222">
        <v>6059</v>
      </c>
      <c r="AK88" s="225">
        <f>IF($C88&gt;=Wirtschaftlichkeit!$J$8,Wirtschaftlichkeit!$J$8,IF(AND($C88&lt;=Wirtschaftlichkeit!$J$8,$C88&gt;=Wirtschaftlichkeit!$J$8*Eingabemaske!$B$18),$C88,"0"))</f>
        <v>6.1044299999999998</v>
      </c>
      <c r="AL88" s="222">
        <v>6059</v>
      </c>
      <c r="AM88" s="224">
        <f t="shared" si="74"/>
        <v>435.27235500000006</v>
      </c>
      <c r="AN88" s="222">
        <v>6059</v>
      </c>
      <c r="AO88" s="226">
        <f>IF(AK88="0"," ",AK88)</f>
        <v>6.1044299999999998</v>
      </c>
      <c r="AP88" s="312">
        <v>6059</v>
      </c>
      <c r="AQ88" s="286">
        <f>AK88*Wirtschaftlichkeit!$J$5/Wirtschaftlichkeit!$J$7</f>
        <v>2.3172311769410712</v>
      </c>
      <c r="AR88" s="284">
        <f t="shared" si="76"/>
        <v>165.22864075213607</v>
      </c>
      <c r="AT88" s="222">
        <v>6059</v>
      </c>
      <c r="AU88" s="225" t="str">
        <f>IF($C88&gt;=Wirtschaftlichkeit!$K$8,Wirtschaftlichkeit!$K$8,IF(AND($C88&lt;=Wirtschaftlichkeit!$K$8,$C88&gt;=Wirtschaftlichkeit!$K$8*Eingabemaske!$B$18),$C88,"0"))</f>
        <v>0</v>
      </c>
      <c r="AV88" s="222">
        <v>6059</v>
      </c>
      <c r="AW88" s="224">
        <f t="shared" si="77"/>
        <v>0</v>
      </c>
      <c r="AX88" s="222">
        <v>6059</v>
      </c>
      <c r="AY88" s="226" t="str">
        <f>IF(AU88="0"," ",AU88)</f>
        <v xml:space="preserve"> </v>
      </c>
      <c r="AZ88" s="312">
        <v>6059</v>
      </c>
      <c r="BA88" s="286">
        <f>AU88*Wirtschaftlichkeit!$K$5/Wirtschaftlichkeit!$K$7</f>
        <v>0</v>
      </c>
      <c r="BB88" s="284">
        <f t="shared" si="79"/>
        <v>0</v>
      </c>
      <c r="BD88" s="222">
        <v>6059</v>
      </c>
      <c r="BE88" s="225" t="str">
        <f>IF($C88&gt;=Wirtschaftlichkeit!$L$8,Wirtschaftlichkeit!$L$8,IF(AND($C88&lt;=Wirtschaftlichkeit!$L$8,$C88&gt;=Wirtschaftlichkeit!$L$8*Eingabemaske!$B$18),$C88,"0"))</f>
        <v>0</v>
      </c>
      <c r="BF88" s="222">
        <v>6059</v>
      </c>
      <c r="BG88" s="224">
        <f t="shared" si="80"/>
        <v>0</v>
      </c>
      <c r="BH88" s="222">
        <v>6059</v>
      </c>
      <c r="BI88" s="226" t="str">
        <f>IF(BE88="0"," ",BE88)</f>
        <v xml:space="preserve"> </v>
      </c>
      <c r="BJ88" s="312">
        <v>6059</v>
      </c>
      <c r="BK88" s="286">
        <f>BE88*Wirtschaftlichkeit!$L$5/Wirtschaftlichkeit!$L$7</f>
        <v>0</v>
      </c>
      <c r="BL88" s="284">
        <f t="shared" si="82"/>
        <v>0</v>
      </c>
      <c r="BN88" s="222">
        <v>6059</v>
      </c>
      <c r="BO88" s="225" t="str">
        <f>IF($C88&gt;=Wirtschaftlichkeit!$M$8,Wirtschaftlichkeit!$M$8,IF(AND($C88&lt;=Wirtschaftlichkeit!$M$8,$C88&gt;=Wirtschaftlichkeit!$M$8*Eingabemaske!$B$18),$C88,"0"))</f>
        <v>0</v>
      </c>
      <c r="BP88" s="222">
        <v>6059</v>
      </c>
      <c r="BQ88" s="224">
        <f t="shared" si="83"/>
        <v>0</v>
      </c>
      <c r="BR88" s="222">
        <v>6059</v>
      </c>
      <c r="BS88" s="226" t="str">
        <f>IF(BO88="0"," ",BO88)</f>
        <v xml:space="preserve"> </v>
      </c>
      <c r="BT88" s="312">
        <v>6059</v>
      </c>
      <c r="BU88" s="286">
        <f>BO88*Wirtschaftlichkeit!$M$5/Wirtschaftlichkeit!$M$7</f>
        <v>0</v>
      </c>
      <c r="BV88" s="284">
        <f t="shared" si="85"/>
        <v>0</v>
      </c>
      <c r="BX88" s="222">
        <v>6059</v>
      </c>
      <c r="BY88" s="225" t="str">
        <f>IF($C88&gt;=Wirtschaftlichkeit!$N$8,Wirtschaftlichkeit!$N$8,IF(AND($C88&lt;=Wirtschaftlichkeit!$N$8,$C88&gt;=Wirtschaftlichkeit!$N$8*Eingabemaske!$B$18),$C88,"0"))</f>
        <v>0</v>
      </c>
      <c r="BZ88" s="222">
        <v>6059</v>
      </c>
      <c r="CA88" s="224">
        <f t="shared" si="86"/>
        <v>0</v>
      </c>
      <c r="CB88" s="222">
        <v>6059</v>
      </c>
      <c r="CC88" s="226" t="str">
        <f>IF(BY88="0"," ",BY88)</f>
        <v xml:space="preserve"> </v>
      </c>
      <c r="CD88" s="312">
        <v>6059</v>
      </c>
      <c r="CE88" s="286">
        <f>BY88*Wirtschaftlichkeit!$N$5/Wirtschaftlichkeit!$N$7</f>
        <v>0</v>
      </c>
      <c r="CF88" s="284">
        <f t="shared" si="88"/>
        <v>0</v>
      </c>
      <c r="CH88" s="222">
        <v>6059</v>
      </c>
      <c r="CI88" s="225" t="str">
        <f>IF($C88&gt;=Wirtschaftlichkeit!$O$8,Wirtschaftlichkeit!$O$8,IF(AND($C88&lt;=Wirtschaftlichkeit!$O$8,$C88&gt;=Wirtschaftlichkeit!$O$8*Eingabemaske!$B$18),$C88,"0"))</f>
        <v>0</v>
      </c>
      <c r="CJ88" s="222">
        <v>6059</v>
      </c>
      <c r="CK88" s="224">
        <f t="shared" si="89"/>
        <v>0</v>
      </c>
      <c r="CL88" s="222">
        <v>6059</v>
      </c>
      <c r="CM88" s="226" t="str">
        <f>IF(CI88="0"," ",CI88)</f>
        <v xml:space="preserve"> </v>
      </c>
      <c r="CN88" s="312">
        <v>6059</v>
      </c>
      <c r="CO88" s="286">
        <f>CI88*Wirtschaftlichkeit!$O$5/Wirtschaftlichkeit!$O$7</f>
        <v>0</v>
      </c>
      <c r="CP88" s="284">
        <f t="shared" si="91"/>
        <v>0</v>
      </c>
      <c r="CR88" s="222">
        <v>6059</v>
      </c>
      <c r="CS88" s="225" t="str">
        <f>IF($C88&gt;=Wirtschaftlichkeit!$P$8,Wirtschaftlichkeit!$P$8,IF(AND($C88&lt;=Wirtschaftlichkeit!$P$8,$C88&gt;=Wirtschaftlichkeit!$P$8*Eingabemaske!$B$18),$C88,"0"))</f>
        <v>0</v>
      </c>
      <c r="CT88" s="222">
        <v>6059</v>
      </c>
      <c r="CU88" s="224">
        <f t="shared" si="92"/>
        <v>0</v>
      </c>
      <c r="CV88" s="222">
        <v>6059</v>
      </c>
      <c r="CW88" s="226" t="str">
        <f>IF(CS88="0"," ",CS88)</f>
        <v xml:space="preserve"> </v>
      </c>
      <c r="CX88" s="312">
        <v>6059</v>
      </c>
      <c r="CY88" s="286">
        <f>CS88*Wirtschaftlichkeit!$P$5/Wirtschaftlichkeit!$P$7</f>
        <v>0</v>
      </c>
      <c r="CZ88" s="284">
        <f t="shared" si="94"/>
        <v>0</v>
      </c>
      <c r="DB88" s="222">
        <v>6059</v>
      </c>
      <c r="DC88" s="225" t="str">
        <f>IF($C88&gt;=Wirtschaftlichkeit!$Q$8,Wirtschaftlichkeit!$Q$8,IF(AND($C88&lt;=Wirtschaftlichkeit!$Q$8,$C88&gt;=Wirtschaftlichkeit!$Q$8*Eingabemaske!$B$18),$C88,"0"))</f>
        <v>0</v>
      </c>
      <c r="DD88" s="222">
        <v>6059</v>
      </c>
      <c r="DE88" s="224">
        <f t="shared" si="95"/>
        <v>0</v>
      </c>
      <c r="DF88" s="222">
        <v>6059</v>
      </c>
      <c r="DG88" s="226" t="str">
        <f>IF(DC88="0"," ",DC88)</f>
        <v xml:space="preserve"> </v>
      </c>
      <c r="DH88" s="312">
        <v>6059</v>
      </c>
      <c r="DI88" s="286">
        <f>DC88*Wirtschaftlichkeit!$Q$5/Wirtschaftlichkeit!$Q$7</f>
        <v>0</v>
      </c>
      <c r="DJ88" s="284">
        <f t="shared" si="97"/>
        <v>0</v>
      </c>
      <c r="DL88" s="222">
        <v>6059</v>
      </c>
      <c r="DM88" s="225" t="str">
        <f>IF($C88&gt;=Wirtschaftlichkeit!$R$8,Wirtschaftlichkeit!$R$8,IF(AND($C88&lt;=Wirtschaftlichkeit!$R$8,$C88&gt;=Wirtschaftlichkeit!$R$8*Eingabemaske!$B$18),$C88,"0"))</f>
        <v>0</v>
      </c>
      <c r="DN88" s="222">
        <v>6059</v>
      </c>
      <c r="DO88" s="224">
        <f t="shared" si="98"/>
        <v>0</v>
      </c>
      <c r="DP88" s="222">
        <v>6059</v>
      </c>
      <c r="DQ88" s="226" t="str">
        <f>IF(DM88="0"," ",DM88)</f>
        <v xml:space="preserve"> </v>
      </c>
      <c r="DR88" s="312">
        <v>6059</v>
      </c>
      <c r="DS88" s="286">
        <f>DM88*Wirtschaftlichkeit!$R$5/Wirtschaftlichkeit!$R$7</f>
        <v>0</v>
      </c>
      <c r="DT88" s="284">
        <f t="shared" si="100"/>
        <v>0</v>
      </c>
      <c r="DV88" s="222">
        <v>6059</v>
      </c>
      <c r="DW88" s="225" t="str">
        <f>IF($C88&gt;=Wirtschaftlichkeit!$S$8,Wirtschaftlichkeit!$S$8,IF(AND($C88&lt;=Wirtschaftlichkeit!$S$8,$C88&gt;=Wirtschaftlichkeit!$S$8*Eingabemaske!$B$18),$C88,"0"))</f>
        <v>0</v>
      </c>
      <c r="DX88" s="222">
        <v>6059</v>
      </c>
      <c r="DY88" s="224">
        <f t="shared" si="101"/>
        <v>0</v>
      </c>
      <c r="DZ88" s="222">
        <v>6059</v>
      </c>
      <c r="EA88" s="226" t="str">
        <f>IF(DW88="0"," ",DW88)</f>
        <v xml:space="preserve"> </v>
      </c>
      <c r="EB88" s="312">
        <v>6059</v>
      </c>
      <c r="EC88" s="286">
        <f>DW88*Wirtschaftlichkeit!$S$5/Wirtschaftlichkeit!$S$7</f>
        <v>0</v>
      </c>
      <c r="ED88" s="284">
        <f t="shared" si="103"/>
        <v>0</v>
      </c>
      <c r="EF88" s="222">
        <v>6059</v>
      </c>
      <c r="EG88" s="225" t="str">
        <f>IF($C88&gt;=Wirtschaftlichkeit!$T$8,Wirtschaftlichkeit!$T$8,IF(AND($C88&lt;=Wirtschaftlichkeit!$T$8,$C88&gt;=Wirtschaftlichkeit!$T$8*Eingabemaske!$B$18),$C88,"0"))</f>
        <v>0</v>
      </c>
      <c r="EH88" s="222">
        <v>6059</v>
      </c>
      <c r="EI88" s="224">
        <f t="shared" si="104"/>
        <v>0</v>
      </c>
      <c r="EJ88" s="222">
        <v>6059</v>
      </c>
      <c r="EK88" s="226" t="str">
        <f>IF(EG88="0"," ",EG88)</f>
        <v xml:space="preserve"> </v>
      </c>
      <c r="EL88" s="312">
        <v>6059</v>
      </c>
      <c r="EM88" s="286">
        <f>EG88*Wirtschaftlichkeit!$T$5/Wirtschaftlichkeit!$T$7</f>
        <v>0</v>
      </c>
      <c r="EN88" s="284">
        <f t="shared" si="106"/>
        <v>0</v>
      </c>
      <c r="EP88" s="222">
        <v>6059</v>
      </c>
      <c r="EQ88" s="225" t="str">
        <f>IF($C88&gt;=Wirtschaftlichkeit!$U$8,Wirtschaftlichkeit!$U$8,IF(AND($C88&lt;=Wirtschaftlichkeit!$U$8,$C88&gt;=Wirtschaftlichkeit!$U$8*Eingabemaske!$B$18),$C88,"0"))</f>
        <v>0</v>
      </c>
      <c r="ER88" s="222">
        <v>6059</v>
      </c>
      <c r="ES88" s="224">
        <f t="shared" si="107"/>
        <v>0</v>
      </c>
      <c r="ET88" s="222">
        <v>6059</v>
      </c>
      <c r="EU88" s="226" t="str">
        <f>IF(EQ88="0"," ",EQ88)</f>
        <v xml:space="preserve"> </v>
      </c>
      <c r="EV88" s="312">
        <v>6059</v>
      </c>
      <c r="EW88" s="286">
        <f>EQ88*Wirtschaftlichkeit!$U$5/Wirtschaftlichkeit!$U$7</f>
        <v>0</v>
      </c>
      <c r="EX88" s="284">
        <f t="shared" si="109"/>
        <v>0</v>
      </c>
      <c r="EZ88" s="222">
        <v>6059</v>
      </c>
      <c r="FA88" s="225" t="str">
        <f>IF($C88&gt;=Wirtschaftlichkeit!$V$8,Wirtschaftlichkeit!$V$8,IF(AND($C88&lt;=Wirtschaftlichkeit!$V$8,$C88&gt;=Wirtschaftlichkeit!$V$8*Eingabemaske!$B$18),$C88,"0"))</f>
        <v>0</v>
      </c>
      <c r="FB88" s="222">
        <v>6059</v>
      </c>
      <c r="FC88" s="224">
        <f t="shared" si="110"/>
        <v>0</v>
      </c>
      <c r="FD88" s="222">
        <v>6059</v>
      </c>
      <c r="FE88" s="226" t="str">
        <f>IF(FA88="0"," ",FA88)</f>
        <v xml:space="preserve"> </v>
      </c>
      <c r="FF88" s="312">
        <v>6059</v>
      </c>
      <c r="FG88" s="286">
        <f>FA88*Wirtschaftlichkeit!$V$5/Wirtschaftlichkeit!$V$7</f>
        <v>0</v>
      </c>
      <c r="FH88" s="284">
        <f t="shared" si="112"/>
        <v>0</v>
      </c>
      <c r="FJ88" s="222">
        <v>6059</v>
      </c>
      <c r="FK88" s="225" t="str">
        <f>IF($C88&gt;=Wirtschaftlichkeit!$W$8,Wirtschaftlichkeit!$W$8,IF(AND($C88&lt;=Wirtschaftlichkeit!$W$8,$C88&gt;=Wirtschaftlichkeit!$W$8*Eingabemaske!$B$18),$C88,"0"))</f>
        <v>0</v>
      </c>
      <c r="FL88" s="222">
        <v>6059</v>
      </c>
      <c r="FM88" s="224">
        <f t="shared" si="113"/>
        <v>0</v>
      </c>
      <c r="FN88" s="222">
        <v>6059</v>
      </c>
      <c r="FO88" s="226" t="str">
        <f>IF(FK88="0"," ",FK88)</f>
        <v xml:space="preserve"> </v>
      </c>
      <c r="FP88" s="312">
        <v>6059</v>
      </c>
      <c r="FQ88" s="286">
        <f>FK88*Wirtschaftlichkeit!$W$5/Wirtschaftlichkeit!$W$7</f>
        <v>0</v>
      </c>
      <c r="FR88" s="284">
        <f t="shared" si="115"/>
        <v>0</v>
      </c>
      <c r="FT88" s="222">
        <v>6059</v>
      </c>
      <c r="FU88" s="225" t="str">
        <f>IF($C88&gt;=Wirtschaftlichkeit!$X$8,Wirtschaftlichkeit!$X$8,IF(AND($C88&lt;=Wirtschaftlichkeit!$X$8,$C88&gt;=Wirtschaftlichkeit!$X$8*Eingabemaske!$B$18),$C88,"0"))</f>
        <v>0</v>
      </c>
      <c r="FV88" s="222">
        <v>6059</v>
      </c>
      <c r="FW88" s="224">
        <f t="shared" si="116"/>
        <v>0</v>
      </c>
      <c r="FX88" s="222">
        <v>6059</v>
      </c>
      <c r="FY88" s="226" t="str">
        <f>IF(FU88="0"," ",FU88)</f>
        <v xml:space="preserve"> </v>
      </c>
      <c r="FZ88" s="312">
        <v>6059</v>
      </c>
      <c r="GA88" s="286">
        <f>FU88*Wirtschaftlichkeit!$X$5/Wirtschaftlichkeit!$X$7</f>
        <v>0</v>
      </c>
      <c r="GB88" s="284">
        <f t="shared" si="118"/>
        <v>0</v>
      </c>
      <c r="GD88" s="222">
        <v>6059</v>
      </c>
      <c r="GE88" s="225" t="str">
        <f>IF($C88&gt;=Wirtschaftlichkeit!$Y$8,Wirtschaftlichkeit!$Y$8,IF(AND($C88&lt;=Wirtschaftlichkeit!$Y$8,$C88&gt;=Wirtschaftlichkeit!$Y$8*Eingabemaske!$B$18),$C88,"0"))</f>
        <v>0</v>
      </c>
      <c r="GF88" s="222">
        <v>6059</v>
      </c>
      <c r="GG88" s="224">
        <f t="shared" si="119"/>
        <v>0</v>
      </c>
      <c r="GH88" s="222">
        <v>6059</v>
      </c>
      <c r="GI88" s="226" t="str">
        <f>IF(GE88="0"," ",GE88)</f>
        <v xml:space="preserve"> </v>
      </c>
      <c r="GJ88" s="312">
        <v>6059</v>
      </c>
      <c r="GK88" s="286">
        <f>GE88*Wirtschaftlichkeit!$Y$5/Wirtschaftlichkeit!$Y$7</f>
        <v>0</v>
      </c>
      <c r="GL88" s="284">
        <f t="shared" si="121"/>
        <v>0</v>
      </c>
      <c r="GN88" s="222">
        <v>6059</v>
      </c>
      <c r="GO88" s="225" t="str">
        <f>IF($C88&gt;=Wirtschaftlichkeit!$Z$8,Wirtschaftlichkeit!$Z$8,IF(AND($C88&lt;=Wirtschaftlichkeit!$Z$8,$C88&gt;=Wirtschaftlichkeit!$Z$8*Eingabemaske!$B$18),$C88,"0"))</f>
        <v>0</v>
      </c>
      <c r="GP88" s="222">
        <v>6059</v>
      </c>
      <c r="GQ88" s="224">
        <f t="shared" si="122"/>
        <v>0</v>
      </c>
      <c r="GR88" s="222">
        <v>6059</v>
      </c>
      <c r="GS88" s="226" t="str">
        <f>IF(GO88="0"," ",GO88)</f>
        <v xml:space="preserve"> </v>
      </c>
      <c r="GT88" s="312">
        <v>6059</v>
      </c>
      <c r="GU88" s="286">
        <f>GO88*Wirtschaftlichkeit!$Z$5/Wirtschaftlichkeit!$Z$7</f>
        <v>0</v>
      </c>
      <c r="GV88" s="284">
        <f t="shared" si="124"/>
        <v>0</v>
      </c>
      <c r="GW88" s="266"/>
      <c r="GX88" s="258">
        <v>6059</v>
      </c>
      <c r="GY88" s="270" t="str">
        <f>IF(Berechnung_Diagramme!$C$28=Berechnungen_Lastgang!$F$2,Berechnungen_Lastgang!G88,IF(Berechnung_Diagramme!$C$28=Berechnungen_Lastgang!$P$2,Berechnungen_Lastgang!Q88,IF(Berechnung_Diagramme!$C$28=Berechnungen_Lastgang!$Z$2,Berechnungen_Lastgang!AA88,IF(Berechnung_Diagramme!$C$28=Berechnungen_Lastgang!$AJ$2,Berechnungen_Lastgang!AK88,IF(Berechnung_Diagramme!$C$28=Berechnungen_Lastgang!$AT$2,Berechnungen_Lastgang!AU88,IF(Berechnung_Diagramme!$C$28=Berechnungen_Lastgang!$BD$2,Berechnungen_Lastgang!BE88,IF(Berechnung_Diagramme!$C$28=Berechnungen_Lastgang!$BN$2,Berechnungen_Lastgang!BO88,IF(Berechnung_Diagramme!$C$28=Berechnungen_Lastgang!$BX$2,Berechnungen_Lastgang!BY88,IF(Berechnung_Diagramme!$C$28=Berechnungen_Lastgang!$CH$2,Berechnungen_Lastgang!CI88,IF(Berechnung_Diagramme!$C$28=Berechnungen_Lastgang!$CR$2,Berechnungen_Lastgang!CS88,IF(Berechnung_Diagramme!$C$28=Berechnungen_Lastgang!$DB$2,Berechnungen_Lastgang!DC88,IF(Berechnung_Diagramme!$C$28=Berechnungen_Lastgang!$DL$2,Berechnungen_Lastgang!DM88,IF(Berechnung_Diagramme!$C$28=Berechnungen_Lastgang!$DV$2,Berechnungen_Lastgang!DW88,IF(Berechnung_Diagramme!$C$28=Berechnungen_Lastgang!$EF$2,Berechnungen_Lastgang!EG88,IF(Berechnung_Diagramme!$C$28=Berechnungen_Lastgang!$EP$2,Berechnungen_Lastgang!EQ88,IF(Berechnung_Diagramme!$C$28=Berechnungen_Lastgang!$EZ$2,Berechnungen_Lastgang!FA88,IF(Berechnung_Diagramme!$C$28=Berechnungen_Lastgang!$FJ$2,Berechnungen_Lastgang!FK88,IF(Berechnung_Diagramme!$C$28=Berechnungen_Lastgang!$FT$2,Berechnungen_Lastgang!FU88,IF(Berechnung_Diagramme!$C$28=Berechnungen_Lastgang!$GD$2,Berechnungen_Lastgang!GE88,IF(Berechnung_Diagramme!$C$28=Berechnungen_Lastgang!$GN$2,Berechnungen_Lastgang!GO88,""))))))))))))))))))))</f>
        <v>0</v>
      </c>
    </row>
    <row r="89" spans="2:207" x14ac:dyDescent="0.25">
      <c r="B89" s="64">
        <v>6132</v>
      </c>
      <c r="C89" s="67">
        <f>C88+((C90-C88)/(B90-B88))*(B89-B88)</f>
        <v>5.8208400000000005</v>
      </c>
      <c r="D89" s="66">
        <f t="shared" si="64"/>
        <v>414.57028500000001</v>
      </c>
      <c r="F89" s="64">
        <v>6132</v>
      </c>
      <c r="G89" s="225">
        <f>IF($C89&gt;=Wirtschaftlichkeit!$G$8,Wirtschaftlichkeit!$G$8,IF(AND($C89&lt;=Wirtschaftlichkeit!$G$8,$C89&gt;=Wirtschaftlichkeit!$G$8*Eingabemaske!$B$18),$C89,"0"))</f>
        <v>2.8333333333333335</v>
      </c>
      <c r="H89" s="64">
        <v>6132</v>
      </c>
      <c r="I89" s="66">
        <f t="shared" si="65"/>
        <v>206.83333333333334</v>
      </c>
      <c r="J89" s="64">
        <v>6132</v>
      </c>
      <c r="K89" s="71">
        <f t="shared" si="66"/>
        <v>2.8333333333333335</v>
      </c>
      <c r="L89" s="312">
        <v>6132</v>
      </c>
      <c r="M89" s="286">
        <f>G89*Wirtschaftlichkeit!$G$5/Wirtschaftlichkeit!$G$7</f>
        <v>1</v>
      </c>
      <c r="N89" s="284">
        <f t="shared" si="67"/>
        <v>73</v>
      </c>
      <c r="P89" s="222">
        <v>6132</v>
      </c>
      <c r="Q89" s="225">
        <f>IF($C89&gt;=Wirtschaftlichkeit!$H$8,Wirtschaftlichkeit!$H$8,IF(AND($C89&lt;=Wirtschaftlichkeit!$H$8,$C89&gt;=Wirtschaftlichkeit!$H$8*Eingabemaske!$B$18),$C89,"0"))</f>
        <v>5.5876288659793811</v>
      </c>
      <c r="R89" s="222">
        <v>6132</v>
      </c>
      <c r="S89" s="224">
        <f t="shared" si="68"/>
        <v>406.0580786082474</v>
      </c>
      <c r="T89" s="222">
        <v>6132</v>
      </c>
      <c r="U89" s="226">
        <f t="shared" ref="U89:U125" si="125">IF(Q89="0"," ",Q89)</f>
        <v>5.5876288659793811</v>
      </c>
      <c r="V89" s="312">
        <v>6132</v>
      </c>
      <c r="W89" s="286">
        <f>Q89*Wirtschaftlichkeit!$H$5/Wirtschaftlichkeit!$H$7</f>
        <v>2</v>
      </c>
      <c r="X89" s="284">
        <f t="shared" si="70"/>
        <v>145.34182149446494</v>
      </c>
      <c r="Z89" s="222">
        <v>6132</v>
      </c>
      <c r="AA89" s="225">
        <f>IF($C89&gt;=Wirtschaftlichkeit!$I$8,Wirtschaftlichkeit!$I$8,IF(AND($C89&lt;=Wirtschaftlichkeit!$I$8,$C89&gt;=Wirtschaftlichkeit!$I$8*Eingabemaske!$B$18),$C89,"0"))</f>
        <v>5.8208400000000005</v>
      </c>
      <c r="AB89" s="222">
        <v>6132</v>
      </c>
      <c r="AC89" s="224">
        <f t="shared" si="71"/>
        <v>414.57028500000001</v>
      </c>
      <c r="AD89" s="222">
        <v>6132</v>
      </c>
      <c r="AE89" s="226">
        <f t="shared" ref="AE89:AE125" si="126">IF(AA89="0"," ",AA89)</f>
        <v>5.8208400000000005</v>
      </c>
      <c r="AF89" s="312">
        <v>6132</v>
      </c>
      <c r="AG89" s="286">
        <f>AA89*Wirtschaftlichkeit!$I$5/Wirtschaftlichkeit!$I$7</f>
        <v>2.117396881289233</v>
      </c>
      <c r="AH89" s="284">
        <f t="shared" si="73"/>
        <v>150.80466539781003</v>
      </c>
      <c r="AJ89" s="222">
        <v>6132</v>
      </c>
      <c r="AK89" s="225">
        <f>IF($C89&gt;=Wirtschaftlichkeit!$J$8,Wirtschaftlichkeit!$J$8,IF(AND($C89&lt;=Wirtschaftlichkeit!$J$8,$C89&gt;=Wirtschaftlichkeit!$J$8*Eingabemaske!$B$18),$C89,"0"))</f>
        <v>5.8208400000000005</v>
      </c>
      <c r="AL89" s="222">
        <v>6132</v>
      </c>
      <c r="AM89" s="224">
        <f t="shared" si="74"/>
        <v>414.57028500000001</v>
      </c>
      <c r="AN89" s="222">
        <v>6132</v>
      </c>
      <c r="AO89" s="226">
        <f t="shared" ref="AO89:AO125" si="127">IF(AK89="0"," ",AK89)</f>
        <v>5.8208400000000005</v>
      </c>
      <c r="AP89" s="312">
        <v>6132</v>
      </c>
      <c r="AQ89" s="286">
        <f>AK89*Wirtschaftlichkeit!$J$5/Wirtschaftlichkeit!$J$7</f>
        <v>2.2095808984599166</v>
      </c>
      <c r="AR89" s="284">
        <f t="shared" si="76"/>
        <v>157.37017042301176</v>
      </c>
      <c r="AT89" s="222">
        <v>6132</v>
      </c>
      <c r="AU89" s="225" t="str">
        <f>IF($C89&gt;=Wirtschaftlichkeit!$K$8,Wirtschaftlichkeit!$K$8,IF(AND($C89&lt;=Wirtschaftlichkeit!$K$8,$C89&gt;=Wirtschaftlichkeit!$K$8*Eingabemaske!$B$18),$C89,"0"))</f>
        <v>0</v>
      </c>
      <c r="AV89" s="222">
        <v>6132</v>
      </c>
      <c r="AW89" s="224">
        <f t="shared" si="77"/>
        <v>0</v>
      </c>
      <c r="AX89" s="222">
        <v>6132</v>
      </c>
      <c r="AY89" s="226" t="str">
        <f t="shared" ref="AY89:AY125" si="128">IF(AU89="0"," ",AU89)</f>
        <v xml:space="preserve"> </v>
      </c>
      <c r="AZ89" s="312">
        <v>6132</v>
      </c>
      <c r="BA89" s="286">
        <f>AU89*Wirtschaftlichkeit!$K$5/Wirtschaftlichkeit!$K$7</f>
        <v>0</v>
      </c>
      <c r="BB89" s="284">
        <f t="shared" si="79"/>
        <v>0</v>
      </c>
      <c r="BD89" s="222">
        <v>6132</v>
      </c>
      <c r="BE89" s="225" t="str">
        <f>IF($C89&gt;=Wirtschaftlichkeit!$L$8,Wirtschaftlichkeit!$L$8,IF(AND($C89&lt;=Wirtschaftlichkeit!$L$8,$C89&gt;=Wirtschaftlichkeit!$L$8*Eingabemaske!$B$18),$C89,"0"))</f>
        <v>0</v>
      </c>
      <c r="BF89" s="222">
        <v>6132</v>
      </c>
      <c r="BG89" s="224">
        <f t="shared" si="80"/>
        <v>0</v>
      </c>
      <c r="BH89" s="222">
        <v>6132</v>
      </c>
      <c r="BI89" s="226" t="str">
        <f t="shared" ref="BI89:BI125" si="129">IF(BE89="0"," ",BE89)</f>
        <v xml:space="preserve"> </v>
      </c>
      <c r="BJ89" s="312">
        <v>6132</v>
      </c>
      <c r="BK89" s="286">
        <f>BE89*Wirtschaftlichkeit!$L$5/Wirtschaftlichkeit!$L$7</f>
        <v>0</v>
      </c>
      <c r="BL89" s="284">
        <f t="shared" si="82"/>
        <v>0</v>
      </c>
      <c r="BN89" s="222">
        <v>6132</v>
      </c>
      <c r="BO89" s="225" t="str">
        <f>IF($C89&gt;=Wirtschaftlichkeit!$M$8,Wirtschaftlichkeit!$M$8,IF(AND($C89&lt;=Wirtschaftlichkeit!$M$8,$C89&gt;=Wirtschaftlichkeit!$M$8*Eingabemaske!$B$18),$C89,"0"))</f>
        <v>0</v>
      </c>
      <c r="BP89" s="222">
        <v>6132</v>
      </c>
      <c r="BQ89" s="224">
        <f t="shared" si="83"/>
        <v>0</v>
      </c>
      <c r="BR89" s="222">
        <v>6132</v>
      </c>
      <c r="BS89" s="226" t="str">
        <f t="shared" ref="BS89:BS125" si="130">IF(BO89="0"," ",BO89)</f>
        <v xml:space="preserve"> </v>
      </c>
      <c r="BT89" s="312">
        <v>6132</v>
      </c>
      <c r="BU89" s="286">
        <f>BO89*Wirtschaftlichkeit!$M$5/Wirtschaftlichkeit!$M$7</f>
        <v>0</v>
      </c>
      <c r="BV89" s="284">
        <f t="shared" si="85"/>
        <v>0</v>
      </c>
      <c r="BX89" s="222">
        <v>6132</v>
      </c>
      <c r="BY89" s="225" t="str">
        <f>IF($C89&gt;=Wirtschaftlichkeit!$N$8,Wirtschaftlichkeit!$N$8,IF(AND($C89&lt;=Wirtschaftlichkeit!$N$8,$C89&gt;=Wirtschaftlichkeit!$N$8*Eingabemaske!$B$18),$C89,"0"))</f>
        <v>0</v>
      </c>
      <c r="BZ89" s="222">
        <v>6132</v>
      </c>
      <c r="CA89" s="224">
        <f t="shared" si="86"/>
        <v>0</v>
      </c>
      <c r="CB89" s="222">
        <v>6132</v>
      </c>
      <c r="CC89" s="226" t="str">
        <f t="shared" ref="CC89:CC125" si="131">IF(BY89="0"," ",BY89)</f>
        <v xml:space="preserve"> </v>
      </c>
      <c r="CD89" s="312">
        <v>6132</v>
      </c>
      <c r="CE89" s="286">
        <f>BY89*Wirtschaftlichkeit!$N$5/Wirtschaftlichkeit!$N$7</f>
        <v>0</v>
      </c>
      <c r="CF89" s="284">
        <f t="shared" si="88"/>
        <v>0</v>
      </c>
      <c r="CH89" s="222">
        <v>6132</v>
      </c>
      <c r="CI89" s="225" t="str">
        <f>IF($C89&gt;=Wirtschaftlichkeit!$O$8,Wirtschaftlichkeit!$O$8,IF(AND($C89&lt;=Wirtschaftlichkeit!$O$8,$C89&gt;=Wirtschaftlichkeit!$O$8*Eingabemaske!$B$18),$C89,"0"))</f>
        <v>0</v>
      </c>
      <c r="CJ89" s="222">
        <v>6132</v>
      </c>
      <c r="CK89" s="224">
        <f t="shared" si="89"/>
        <v>0</v>
      </c>
      <c r="CL89" s="222">
        <v>6132</v>
      </c>
      <c r="CM89" s="226" t="str">
        <f t="shared" ref="CM89:CM125" si="132">IF(CI89="0"," ",CI89)</f>
        <v xml:space="preserve"> </v>
      </c>
      <c r="CN89" s="312">
        <v>6132</v>
      </c>
      <c r="CO89" s="286">
        <f>CI89*Wirtschaftlichkeit!$O$5/Wirtschaftlichkeit!$O$7</f>
        <v>0</v>
      </c>
      <c r="CP89" s="284">
        <f t="shared" si="91"/>
        <v>0</v>
      </c>
      <c r="CR89" s="222">
        <v>6132</v>
      </c>
      <c r="CS89" s="225" t="str">
        <f>IF($C89&gt;=Wirtschaftlichkeit!$P$8,Wirtschaftlichkeit!$P$8,IF(AND($C89&lt;=Wirtschaftlichkeit!$P$8,$C89&gt;=Wirtschaftlichkeit!$P$8*Eingabemaske!$B$18),$C89,"0"))</f>
        <v>0</v>
      </c>
      <c r="CT89" s="222">
        <v>6132</v>
      </c>
      <c r="CU89" s="224">
        <f t="shared" si="92"/>
        <v>0</v>
      </c>
      <c r="CV89" s="222">
        <v>6132</v>
      </c>
      <c r="CW89" s="226" t="str">
        <f t="shared" ref="CW89:CW125" si="133">IF(CS89="0"," ",CS89)</f>
        <v xml:space="preserve"> </v>
      </c>
      <c r="CX89" s="312">
        <v>6132</v>
      </c>
      <c r="CY89" s="286">
        <f>CS89*Wirtschaftlichkeit!$P$5/Wirtschaftlichkeit!$P$7</f>
        <v>0</v>
      </c>
      <c r="CZ89" s="284">
        <f t="shared" si="94"/>
        <v>0</v>
      </c>
      <c r="DB89" s="222">
        <v>6132</v>
      </c>
      <c r="DC89" s="225" t="str">
        <f>IF($C89&gt;=Wirtschaftlichkeit!$Q$8,Wirtschaftlichkeit!$Q$8,IF(AND($C89&lt;=Wirtschaftlichkeit!$Q$8,$C89&gt;=Wirtschaftlichkeit!$Q$8*Eingabemaske!$B$18),$C89,"0"))</f>
        <v>0</v>
      </c>
      <c r="DD89" s="222">
        <v>6132</v>
      </c>
      <c r="DE89" s="224">
        <f t="shared" si="95"/>
        <v>0</v>
      </c>
      <c r="DF89" s="222">
        <v>6132</v>
      </c>
      <c r="DG89" s="226" t="str">
        <f t="shared" ref="DG89:DG125" si="134">IF(DC89="0"," ",DC89)</f>
        <v xml:space="preserve"> </v>
      </c>
      <c r="DH89" s="312">
        <v>6132</v>
      </c>
      <c r="DI89" s="286">
        <f>DC89*Wirtschaftlichkeit!$Q$5/Wirtschaftlichkeit!$Q$7</f>
        <v>0</v>
      </c>
      <c r="DJ89" s="284">
        <f t="shared" si="97"/>
        <v>0</v>
      </c>
      <c r="DL89" s="222">
        <v>6132</v>
      </c>
      <c r="DM89" s="225" t="str">
        <f>IF($C89&gt;=Wirtschaftlichkeit!$R$8,Wirtschaftlichkeit!$R$8,IF(AND($C89&lt;=Wirtschaftlichkeit!$R$8,$C89&gt;=Wirtschaftlichkeit!$R$8*Eingabemaske!$B$18),$C89,"0"))</f>
        <v>0</v>
      </c>
      <c r="DN89" s="222">
        <v>6132</v>
      </c>
      <c r="DO89" s="224">
        <f t="shared" si="98"/>
        <v>0</v>
      </c>
      <c r="DP89" s="222">
        <v>6132</v>
      </c>
      <c r="DQ89" s="226" t="str">
        <f t="shared" ref="DQ89:DQ125" si="135">IF(DM89="0"," ",DM89)</f>
        <v xml:space="preserve"> </v>
      </c>
      <c r="DR89" s="312">
        <v>6132</v>
      </c>
      <c r="DS89" s="286">
        <f>DM89*Wirtschaftlichkeit!$R$5/Wirtschaftlichkeit!$R$7</f>
        <v>0</v>
      </c>
      <c r="DT89" s="284">
        <f t="shared" si="100"/>
        <v>0</v>
      </c>
      <c r="DV89" s="222">
        <v>6132</v>
      </c>
      <c r="DW89" s="225" t="str">
        <f>IF($C89&gt;=Wirtschaftlichkeit!$S$8,Wirtschaftlichkeit!$S$8,IF(AND($C89&lt;=Wirtschaftlichkeit!$S$8,$C89&gt;=Wirtschaftlichkeit!$S$8*Eingabemaske!$B$18),$C89,"0"))</f>
        <v>0</v>
      </c>
      <c r="DX89" s="222">
        <v>6132</v>
      </c>
      <c r="DY89" s="224">
        <f t="shared" si="101"/>
        <v>0</v>
      </c>
      <c r="DZ89" s="222">
        <v>6132</v>
      </c>
      <c r="EA89" s="226" t="str">
        <f t="shared" ref="EA89:EA125" si="136">IF(DW89="0"," ",DW89)</f>
        <v xml:space="preserve"> </v>
      </c>
      <c r="EB89" s="312">
        <v>6132</v>
      </c>
      <c r="EC89" s="286">
        <f>DW89*Wirtschaftlichkeit!$S$5/Wirtschaftlichkeit!$S$7</f>
        <v>0</v>
      </c>
      <c r="ED89" s="284">
        <f t="shared" si="103"/>
        <v>0</v>
      </c>
      <c r="EF89" s="222">
        <v>6132</v>
      </c>
      <c r="EG89" s="225" t="str">
        <f>IF($C89&gt;=Wirtschaftlichkeit!$T$8,Wirtschaftlichkeit!$T$8,IF(AND($C89&lt;=Wirtschaftlichkeit!$T$8,$C89&gt;=Wirtschaftlichkeit!$T$8*Eingabemaske!$B$18),$C89,"0"))</f>
        <v>0</v>
      </c>
      <c r="EH89" s="222">
        <v>6132</v>
      </c>
      <c r="EI89" s="224">
        <f t="shared" si="104"/>
        <v>0</v>
      </c>
      <c r="EJ89" s="222">
        <v>6132</v>
      </c>
      <c r="EK89" s="226" t="str">
        <f t="shared" ref="EK89:EK125" si="137">IF(EG89="0"," ",EG89)</f>
        <v xml:space="preserve"> </v>
      </c>
      <c r="EL89" s="312">
        <v>6132</v>
      </c>
      <c r="EM89" s="286">
        <f>EG89*Wirtschaftlichkeit!$T$5/Wirtschaftlichkeit!$T$7</f>
        <v>0</v>
      </c>
      <c r="EN89" s="284">
        <f t="shared" si="106"/>
        <v>0</v>
      </c>
      <c r="EP89" s="222">
        <v>6132</v>
      </c>
      <c r="EQ89" s="225" t="str">
        <f>IF($C89&gt;=Wirtschaftlichkeit!$U$8,Wirtschaftlichkeit!$U$8,IF(AND($C89&lt;=Wirtschaftlichkeit!$U$8,$C89&gt;=Wirtschaftlichkeit!$U$8*Eingabemaske!$B$18),$C89,"0"))</f>
        <v>0</v>
      </c>
      <c r="ER89" s="222">
        <v>6132</v>
      </c>
      <c r="ES89" s="224">
        <f t="shared" si="107"/>
        <v>0</v>
      </c>
      <c r="ET89" s="222">
        <v>6132</v>
      </c>
      <c r="EU89" s="226" t="str">
        <f t="shared" ref="EU89:EU125" si="138">IF(EQ89="0"," ",EQ89)</f>
        <v xml:space="preserve"> </v>
      </c>
      <c r="EV89" s="312">
        <v>6132</v>
      </c>
      <c r="EW89" s="286">
        <f>EQ89*Wirtschaftlichkeit!$U$5/Wirtschaftlichkeit!$U$7</f>
        <v>0</v>
      </c>
      <c r="EX89" s="284">
        <f t="shared" si="109"/>
        <v>0</v>
      </c>
      <c r="EZ89" s="222">
        <v>6132</v>
      </c>
      <c r="FA89" s="225" t="str">
        <f>IF($C89&gt;=Wirtschaftlichkeit!$V$8,Wirtschaftlichkeit!$V$8,IF(AND($C89&lt;=Wirtschaftlichkeit!$V$8,$C89&gt;=Wirtschaftlichkeit!$V$8*Eingabemaske!$B$18),$C89,"0"))</f>
        <v>0</v>
      </c>
      <c r="FB89" s="222">
        <v>6132</v>
      </c>
      <c r="FC89" s="224">
        <f t="shared" si="110"/>
        <v>0</v>
      </c>
      <c r="FD89" s="222">
        <v>6132</v>
      </c>
      <c r="FE89" s="226" t="str">
        <f t="shared" ref="FE89:FE125" si="139">IF(FA89="0"," ",FA89)</f>
        <v xml:space="preserve"> </v>
      </c>
      <c r="FF89" s="312">
        <v>6132</v>
      </c>
      <c r="FG89" s="286">
        <f>FA89*Wirtschaftlichkeit!$V$5/Wirtschaftlichkeit!$V$7</f>
        <v>0</v>
      </c>
      <c r="FH89" s="284">
        <f t="shared" si="112"/>
        <v>0</v>
      </c>
      <c r="FJ89" s="222">
        <v>6132</v>
      </c>
      <c r="FK89" s="225" t="str">
        <f>IF($C89&gt;=Wirtschaftlichkeit!$W$8,Wirtschaftlichkeit!$W$8,IF(AND($C89&lt;=Wirtschaftlichkeit!$W$8,$C89&gt;=Wirtschaftlichkeit!$W$8*Eingabemaske!$B$18),$C89,"0"))</f>
        <v>0</v>
      </c>
      <c r="FL89" s="222">
        <v>6132</v>
      </c>
      <c r="FM89" s="224">
        <f t="shared" si="113"/>
        <v>0</v>
      </c>
      <c r="FN89" s="222">
        <v>6132</v>
      </c>
      <c r="FO89" s="226" t="str">
        <f t="shared" ref="FO89:FO125" si="140">IF(FK89="0"," ",FK89)</f>
        <v xml:space="preserve"> </v>
      </c>
      <c r="FP89" s="312">
        <v>6132</v>
      </c>
      <c r="FQ89" s="286">
        <f>FK89*Wirtschaftlichkeit!$W$5/Wirtschaftlichkeit!$W$7</f>
        <v>0</v>
      </c>
      <c r="FR89" s="284">
        <f t="shared" si="115"/>
        <v>0</v>
      </c>
      <c r="FT89" s="222">
        <v>6132</v>
      </c>
      <c r="FU89" s="225" t="str">
        <f>IF($C89&gt;=Wirtschaftlichkeit!$X$8,Wirtschaftlichkeit!$X$8,IF(AND($C89&lt;=Wirtschaftlichkeit!$X$8,$C89&gt;=Wirtschaftlichkeit!$X$8*Eingabemaske!$B$18),$C89,"0"))</f>
        <v>0</v>
      </c>
      <c r="FV89" s="222">
        <v>6132</v>
      </c>
      <c r="FW89" s="224">
        <f t="shared" si="116"/>
        <v>0</v>
      </c>
      <c r="FX89" s="222">
        <v>6132</v>
      </c>
      <c r="FY89" s="226" t="str">
        <f t="shared" ref="FY89:FY125" si="141">IF(FU89="0"," ",FU89)</f>
        <v xml:space="preserve"> </v>
      </c>
      <c r="FZ89" s="312">
        <v>6132</v>
      </c>
      <c r="GA89" s="286">
        <f>FU89*Wirtschaftlichkeit!$X$5/Wirtschaftlichkeit!$X$7</f>
        <v>0</v>
      </c>
      <c r="GB89" s="284">
        <f t="shared" si="118"/>
        <v>0</v>
      </c>
      <c r="GD89" s="222">
        <v>6132</v>
      </c>
      <c r="GE89" s="225" t="str">
        <f>IF($C89&gt;=Wirtschaftlichkeit!$Y$8,Wirtschaftlichkeit!$Y$8,IF(AND($C89&lt;=Wirtschaftlichkeit!$Y$8,$C89&gt;=Wirtschaftlichkeit!$Y$8*Eingabemaske!$B$18),$C89,"0"))</f>
        <v>0</v>
      </c>
      <c r="GF89" s="222">
        <v>6132</v>
      </c>
      <c r="GG89" s="224">
        <f t="shared" si="119"/>
        <v>0</v>
      </c>
      <c r="GH89" s="222">
        <v>6132</v>
      </c>
      <c r="GI89" s="226" t="str">
        <f t="shared" ref="GI89:GI125" si="142">IF(GE89="0"," ",GE89)</f>
        <v xml:space="preserve"> </v>
      </c>
      <c r="GJ89" s="312">
        <v>6132</v>
      </c>
      <c r="GK89" s="286">
        <f>GE89*Wirtschaftlichkeit!$Y$5/Wirtschaftlichkeit!$Y$7</f>
        <v>0</v>
      </c>
      <c r="GL89" s="284">
        <f t="shared" si="121"/>
        <v>0</v>
      </c>
      <c r="GN89" s="222">
        <v>6132</v>
      </c>
      <c r="GO89" s="225" t="str">
        <f>IF($C89&gt;=Wirtschaftlichkeit!$Z$8,Wirtschaftlichkeit!$Z$8,IF(AND($C89&lt;=Wirtschaftlichkeit!$Z$8,$C89&gt;=Wirtschaftlichkeit!$Z$8*Eingabemaske!$B$18),$C89,"0"))</f>
        <v>0</v>
      </c>
      <c r="GP89" s="222">
        <v>6132</v>
      </c>
      <c r="GQ89" s="224">
        <f t="shared" si="122"/>
        <v>0</v>
      </c>
      <c r="GR89" s="222">
        <v>6132</v>
      </c>
      <c r="GS89" s="226" t="str">
        <f t="shared" ref="GS89:GS125" si="143">IF(GO89="0"," ",GO89)</f>
        <v xml:space="preserve"> </v>
      </c>
      <c r="GT89" s="312">
        <v>6132</v>
      </c>
      <c r="GU89" s="286">
        <f>GO89*Wirtschaftlichkeit!$Z$5/Wirtschaftlichkeit!$Z$7</f>
        <v>0</v>
      </c>
      <c r="GV89" s="284">
        <f t="shared" si="124"/>
        <v>0</v>
      </c>
      <c r="GW89" s="266"/>
      <c r="GX89" s="258">
        <v>6132</v>
      </c>
      <c r="GY89" s="270" t="str">
        <f>IF(Berechnung_Diagramme!$C$28=Berechnungen_Lastgang!$F$2,Berechnungen_Lastgang!G89,IF(Berechnung_Diagramme!$C$28=Berechnungen_Lastgang!$P$2,Berechnungen_Lastgang!Q89,IF(Berechnung_Diagramme!$C$28=Berechnungen_Lastgang!$Z$2,Berechnungen_Lastgang!AA89,IF(Berechnung_Diagramme!$C$28=Berechnungen_Lastgang!$AJ$2,Berechnungen_Lastgang!AK89,IF(Berechnung_Diagramme!$C$28=Berechnungen_Lastgang!$AT$2,Berechnungen_Lastgang!AU89,IF(Berechnung_Diagramme!$C$28=Berechnungen_Lastgang!$BD$2,Berechnungen_Lastgang!BE89,IF(Berechnung_Diagramme!$C$28=Berechnungen_Lastgang!$BN$2,Berechnungen_Lastgang!BO89,IF(Berechnung_Diagramme!$C$28=Berechnungen_Lastgang!$BX$2,Berechnungen_Lastgang!BY89,IF(Berechnung_Diagramme!$C$28=Berechnungen_Lastgang!$CH$2,Berechnungen_Lastgang!CI89,IF(Berechnung_Diagramme!$C$28=Berechnungen_Lastgang!$CR$2,Berechnungen_Lastgang!CS89,IF(Berechnung_Diagramme!$C$28=Berechnungen_Lastgang!$DB$2,Berechnungen_Lastgang!DC89,IF(Berechnung_Diagramme!$C$28=Berechnungen_Lastgang!$DL$2,Berechnungen_Lastgang!DM89,IF(Berechnung_Diagramme!$C$28=Berechnungen_Lastgang!$DV$2,Berechnungen_Lastgang!DW89,IF(Berechnung_Diagramme!$C$28=Berechnungen_Lastgang!$EF$2,Berechnungen_Lastgang!EG89,IF(Berechnung_Diagramme!$C$28=Berechnungen_Lastgang!$EP$2,Berechnungen_Lastgang!EQ89,IF(Berechnung_Diagramme!$C$28=Berechnungen_Lastgang!$EZ$2,Berechnungen_Lastgang!FA89,IF(Berechnung_Diagramme!$C$28=Berechnungen_Lastgang!$FJ$2,Berechnungen_Lastgang!FK89,IF(Berechnung_Diagramme!$C$28=Berechnungen_Lastgang!$FT$2,Berechnungen_Lastgang!FU89,IF(Berechnung_Diagramme!$C$28=Berechnungen_Lastgang!$GD$2,Berechnungen_Lastgang!GE89,IF(Berechnung_Diagramme!$C$28=Berechnungen_Lastgang!$GN$2,Berechnungen_Lastgang!GO89,""))))))))))))))))))))</f>
        <v>0</v>
      </c>
    </row>
    <row r="90" spans="2:207" x14ac:dyDescent="0.25">
      <c r="B90" s="64">
        <v>6205</v>
      </c>
      <c r="C90" s="67">
        <f>(C85+C95)/2</f>
        <v>5.5372500000000002</v>
      </c>
      <c r="D90" s="66">
        <f t="shared" si="64"/>
        <v>393.86821500000002</v>
      </c>
      <c r="F90" s="64">
        <v>6205</v>
      </c>
      <c r="G90" s="225">
        <f>IF($C90&gt;=Wirtschaftlichkeit!$G$8,Wirtschaftlichkeit!$G$8,IF(AND($C90&lt;=Wirtschaftlichkeit!$G$8,$C90&gt;=Wirtschaftlichkeit!$G$8*Eingabemaske!$B$18),$C90,"0"))</f>
        <v>2.8333333333333335</v>
      </c>
      <c r="H90" s="64">
        <v>6205</v>
      </c>
      <c r="I90" s="66">
        <f t="shared" si="65"/>
        <v>206.83333333333334</v>
      </c>
      <c r="J90" s="64">
        <v>6205</v>
      </c>
      <c r="K90" s="71">
        <f t="shared" si="66"/>
        <v>2.8333333333333335</v>
      </c>
      <c r="L90" s="312">
        <v>6205</v>
      </c>
      <c r="M90" s="286">
        <f>G90*Wirtschaftlichkeit!$G$5/Wirtschaftlichkeit!$G$7</f>
        <v>1</v>
      </c>
      <c r="N90" s="284">
        <f t="shared" si="67"/>
        <v>73</v>
      </c>
      <c r="P90" s="222">
        <v>6205</v>
      </c>
      <c r="Q90" s="225">
        <f>IF($C90&gt;=Wirtschaftlichkeit!$H$8,Wirtschaftlichkeit!$H$8,IF(AND($C90&lt;=Wirtschaftlichkeit!$H$8,$C90&gt;=Wirtschaftlichkeit!$H$8*Eingabemaske!$B$18),$C90,"0"))</f>
        <v>5.5372500000000002</v>
      </c>
      <c r="R90" s="222">
        <v>6205</v>
      </c>
      <c r="S90" s="224">
        <f t="shared" si="68"/>
        <v>393.86821500000002</v>
      </c>
      <c r="T90" s="222">
        <v>6205</v>
      </c>
      <c r="U90" s="226">
        <f t="shared" si="125"/>
        <v>5.5372500000000002</v>
      </c>
      <c r="V90" s="312">
        <v>6205</v>
      </c>
      <c r="W90" s="286">
        <f>Q90*Wirtschaftlichkeit!$H$5/Wirtschaftlichkeit!$H$7</f>
        <v>1.9819677121771218</v>
      </c>
      <c r="X90" s="284">
        <f t="shared" si="70"/>
        <v>140.97865998154981</v>
      </c>
      <c r="Z90" s="222">
        <v>6205</v>
      </c>
      <c r="AA90" s="225">
        <f>IF($C90&gt;=Wirtschaftlichkeit!$I$8,Wirtschaftlichkeit!$I$8,IF(AND($C90&lt;=Wirtschaftlichkeit!$I$8,$C90&gt;=Wirtschaftlichkeit!$I$8*Eingabemaske!$B$18),$C90,"0"))</f>
        <v>5.5372500000000002</v>
      </c>
      <c r="AB90" s="222">
        <v>6205</v>
      </c>
      <c r="AC90" s="224">
        <f t="shared" si="71"/>
        <v>393.86821500000002</v>
      </c>
      <c r="AD90" s="222">
        <v>6205</v>
      </c>
      <c r="AE90" s="226">
        <f t="shared" si="126"/>
        <v>5.5372500000000002</v>
      </c>
      <c r="AF90" s="312">
        <v>6205</v>
      </c>
      <c r="AG90" s="286">
        <f>AA90*Wirtschaftlichkeit!$I$5/Wirtschaftlichkeit!$I$7</f>
        <v>2.0142377871439185</v>
      </c>
      <c r="AH90" s="284">
        <f t="shared" si="73"/>
        <v>143.27405152520205</v>
      </c>
      <c r="AJ90" s="222">
        <v>6205</v>
      </c>
      <c r="AK90" s="225">
        <f>IF($C90&gt;=Wirtschaftlichkeit!$J$8,Wirtschaftlichkeit!$J$8,IF(AND($C90&lt;=Wirtschaftlichkeit!$J$8,$C90&gt;=Wirtschaftlichkeit!$J$8*Eingabemaske!$B$18),$C90,"0"))</f>
        <v>5.5372500000000002</v>
      </c>
      <c r="AL90" s="222">
        <v>6205</v>
      </c>
      <c r="AM90" s="224">
        <f t="shared" si="74"/>
        <v>202.10962499999999</v>
      </c>
      <c r="AN90" s="222">
        <v>6205</v>
      </c>
      <c r="AO90" s="226">
        <f t="shared" si="127"/>
        <v>5.5372500000000002</v>
      </c>
      <c r="AP90" s="312">
        <v>6205</v>
      </c>
      <c r="AQ90" s="286">
        <f>AK90*Wirtschaftlichkeit!$J$5/Wirtschaftlichkeit!$J$7</f>
        <v>2.1019306199787611</v>
      </c>
      <c r="AR90" s="284">
        <f t="shared" si="76"/>
        <v>76.720467629224785</v>
      </c>
      <c r="AT90" s="222">
        <v>6205</v>
      </c>
      <c r="AU90" s="225" t="str">
        <f>IF($C90&gt;=Wirtschaftlichkeit!$K$8,Wirtschaftlichkeit!$K$8,IF(AND($C90&lt;=Wirtschaftlichkeit!$K$8,$C90&gt;=Wirtschaftlichkeit!$K$8*Eingabemaske!$B$18),$C90,"0"))</f>
        <v>0</v>
      </c>
      <c r="AV90" s="222">
        <v>6205</v>
      </c>
      <c r="AW90" s="224">
        <f t="shared" si="77"/>
        <v>0</v>
      </c>
      <c r="AX90" s="222">
        <v>6205</v>
      </c>
      <c r="AY90" s="226" t="str">
        <f t="shared" si="128"/>
        <v xml:space="preserve"> </v>
      </c>
      <c r="AZ90" s="312">
        <v>6205</v>
      </c>
      <c r="BA90" s="286">
        <f>AU90*Wirtschaftlichkeit!$K$5/Wirtschaftlichkeit!$K$7</f>
        <v>0</v>
      </c>
      <c r="BB90" s="284">
        <f t="shared" si="79"/>
        <v>0</v>
      </c>
      <c r="BD90" s="222">
        <v>6205</v>
      </c>
      <c r="BE90" s="225" t="str">
        <f>IF($C90&gt;=Wirtschaftlichkeit!$L$8,Wirtschaftlichkeit!$L$8,IF(AND($C90&lt;=Wirtschaftlichkeit!$L$8,$C90&gt;=Wirtschaftlichkeit!$L$8*Eingabemaske!$B$18),$C90,"0"))</f>
        <v>0</v>
      </c>
      <c r="BF90" s="222">
        <v>6205</v>
      </c>
      <c r="BG90" s="224">
        <f t="shared" si="80"/>
        <v>0</v>
      </c>
      <c r="BH90" s="222">
        <v>6205</v>
      </c>
      <c r="BI90" s="226" t="str">
        <f t="shared" si="129"/>
        <v xml:space="preserve"> </v>
      </c>
      <c r="BJ90" s="312">
        <v>6205</v>
      </c>
      <c r="BK90" s="286">
        <f>BE90*Wirtschaftlichkeit!$L$5/Wirtschaftlichkeit!$L$7</f>
        <v>0</v>
      </c>
      <c r="BL90" s="284">
        <f t="shared" si="82"/>
        <v>0</v>
      </c>
      <c r="BN90" s="222">
        <v>6205</v>
      </c>
      <c r="BO90" s="225" t="str">
        <f>IF($C90&gt;=Wirtschaftlichkeit!$M$8,Wirtschaftlichkeit!$M$8,IF(AND($C90&lt;=Wirtschaftlichkeit!$M$8,$C90&gt;=Wirtschaftlichkeit!$M$8*Eingabemaske!$B$18),$C90,"0"))</f>
        <v>0</v>
      </c>
      <c r="BP90" s="222">
        <v>6205</v>
      </c>
      <c r="BQ90" s="224">
        <f t="shared" si="83"/>
        <v>0</v>
      </c>
      <c r="BR90" s="222">
        <v>6205</v>
      </c>
      <c r="BS90" s="226" t="str">
        <f t="shared" si="130"/>
        <v xml:space="preserve"> </v>
      </c>
      <c r="BT90" s="312">
        <v>6205</v>
      </c>
      <c r="BU90" s="286">
        <f>BO90*Wirtschaftlichkeit!$M$5/Wirtschaftlichkeit!$M$7</f>
        <v>0</v>
      </c>
      <c r="BV90" s="284">
        <f t="shared" si="85"/>
        <v>0</v>
      </c>
      <c r="BX90" s="222">
        <v>6205</v>
      </c>
      <c r="BY90" s="225" t="str">
        <f>IF($C90&gt;=Wirtschaftlichkeit!$N$8,Wirtschaftlichkeit!$N$8,IF(AND($C90&lt;=Wirtschaftlichkeit!$N$8,$C90&gt;=Wirtschaftlichkeit!$N$8*Eingabemaske!$B$18),$C90,"0"))</f>
        <v>0</v>
      </c>
      <c r="BZ90" s="222">
        <v>6205</v>
      </c>
      <c r="CA90" s="224">
        <f t="shared" si="86"/>
        <v>0</v>
      </c>
      <c r="CB90" s="222">
        <v>6205</v>
      </c>
      <c r="CC90" s="226" t="str">
        <f t="shared" si="131"/>
        <v xml:space="preserve"> </v>
      </c>
      <c r="CD90" s="312">
        <v>6205</v>
      </c>
      <c r="CE90" s="286">
        <f>BY90*Wirtschaftlichkeit!$N$5/Wirtschaftlichkeit!$N$7</f>
        <v>0</v>
      </c>
      <c r="CF90" s="284">
        <f t="shared" si="88"/>
        <v>0</v>
      </c>
      <c r="CH90" s="222">
        <v>6205</v>
      </c>
      <c r="CI90" s="225" t="str">
        <f>IF($C90&gt;=Wirtschaftlichkeit!$O$8,Wirtschaftlichkeit!$O$8,IF(AND($C90&lt;=Wirtschaftlichkeit!$O$8,$C90&gt;=Wirtschaftlichkeit!$O$8*Eingabemaske!$B$18),$C90,"0"))</f>
        <v>0</v>
      </c>
      <c r="CJ90" s="222">
        <v>6205</v>
      </c>
      <c r="CK90" s="224">
        <f t="shared" si="89"/>
        <v>0</v>
      </c>
      <c r="CL90" s="222">
        <v>6205</v>
      </c>
      <c r="CM90" s="226" t="str">
        <f t="shared" si="132"/>
        <v xml:space="preserve"> </v>
      </c>
      <c r="CN90" s="312">
        <v>6205</v>
      </c>
      <c r="CO90" s="286">
        <f>CI90*Wirtschaftlichkeit!$O$5/Wirtschaftlichkeit!$O$7</f>
        <v>0</v>
      </c>
      <c r="CP90" s="284">
        <f t="shared" si="91"/>
        <v>0</v>
      </c>
      <c r="CR90" s="222">
        <v>6205</v>
      </c>
      <c r="CS90" s="225" t="str">
        <f>IF($C90&gt;=Wirtschaftlichkeit!$P$8,Wirtschaftlichkeit!$P$8,IF(AND($C90&lt;=Wirtschaftlichkeit!$P$8,$C90&gt;=Wirtschaftlichkeit!$P$8*Eingabemaske!$B$18),$C90,"0"))</f>
        <v>0</v>
      </c>
      <c r="CT90" s="222">
        <v>6205</v>
      </c>
      <c r="CU90" s="224">
        <f t="shared" si="92"/>
        <v>0</v>
      </c>
      <c r="CV90" s="222">
        <v>6205</v>
      </c>
      <c r="CW90" s="226" t="str">
        <f t="shared" si="133"/>
        <v xml:space="preserve"> </v>
      </c>
      <c r="CX90" s="312">
        <v>6205</v>
      </c>
      <c r="CY90" s="286">
        <f>CS90*Wirtschaftlichkeit!$P$5/Wirtschaftlichkeit!$P$7</f>
        <v>0</v>
      </c>
      <c r="CZ90" s="284">
        <f t="shared" si="94"/>
        <v>0</v>
      </c>
      <c r="DB90" s="222">
        <v>6205</v>
      </c>
      <c r="DC90" s="225" t="str">
        <f>IF($C90&gt;=Wirtschaftlichkeit!$Q$8,Wirtschaftlichkeit!$Q$8,IF(AND($C90&lt;=Wirtschaftlichkeit!$Q$8,$C90&gt;=Wirtschaftlichkeit!$Q$8*Eingabemaske!$B$18),$C90,"0"))</f>
        <v>0</v>
      </c>
      <c r="DD90" s="222">
        <v>6205</v>
      </c>
      <c r="DE90" s="224">
        <f t="shared" si="95"/>
        <v>0</v>
      </c>
      <c r="DF90" s="222">
        <v>6205</v>
      </c>
      <c r="DG90" s="226" t="str">
        <f t="shared" si="134"/>
        <v xml:space="preserve"> </v>
      </c>
      <c r="DH90" s="312">
        <v>6205</v>
      </c>
      <c r="DI90" s="286">
        <f>DC90*Wirtschaftlichkeit!$Q$5/Wirtschaftlichkeit!$Q$7</f>
        <v>0</v>
      </c>
      <c r="DJ90" s="284">
        <f t="shared" si="97"/>
        <v>0</v>
      </c>
      <c r="DL90" s="222">
        <v>6205</v>
      </c>
      <c r="DM90" s="225" t="str">
        <f>IF($C90&gt;=Wirtschaftlichkeit!$R$8,Wirtschaftlichkeit!$R$8,IF(AND($C90&lt;=Wirtschaftlichkeit!$R$8,$C90&gt;=Wirtschaftlichkeit!$R$8*Eingabemaske!$B$18),$C90,"0"))</f>
        <v>0</v>
      </c>
      <c r="DN90" s="222">
        <v>6205</v>
      </c>
      <c r="DO90" s="224">
        <f t="shared" si="98"/>
        <v>0</v>
      </c>
      <c r="DP90" s="222">
        <v>6205</v>
      </c>
      <c r="DQ90" s="226" t="str">
        <f t="shared" si="135"/>
        <v xml:space="preserve"> </v>
      </c>
      <c r="DR90" s="312">
        <v>6205</v>
      </c>
      <c r="DS90" s="286">
        <f>DM90*Wirtschaftlichkeit!$R$5/Wirtschaftlichkeit!$R$7</f>
        <v>0</v>
      </c>
      <c r="DT90" s="284">
        <f t="shared" si="100"/>
        <v>0</v>
      </c>
      <c r="DV90" s="222">
        <v>6205</v>
      </c>
      <c r="DW90" s="225" t="str">
        <f>IF($C90&gt;=Wirtschaftlichkeit!$S$8,Wirtschaftlichkeit!$S$8,IF(AND($C90&lt;=Wirtschaftlichkeit!$S$8,$C90&gt;=Wirtschaftlichkeit!$S$8*Eingabemaske!$B$18),$C90,"0"))</f>
        <v>0</v>
      </c>
      <c r="DX90" s="222">
        <v>6205</v>
      </c>
      <c r="DY90" s="224">
        <f t="shared" si="101"/>
        <v>0</v>
      </c>
      <c r="DZ90" s="222">
        <v>6205</v>
      </c>
      <c r="EA90" s="226" t="str">
        <f t="shared" si="136"/>
        <v xml:space="preserve"> </v>
      </c>
      <c r="EB90" s="312">
        <v>6205</v>
      </c>
      <c r="EC90" s="286">
        <f>DW90*Wirtschaftlichkeit!$S$5/Wirtschaftlichkeit!$S$7</f>
        <v>0</v>
      </c>
      <c r="ED90" s="284">
        <f t="shared" si="103"/>
        <v>0</v>
      </c>
      <c r="EF90" s="222">
        <v>6205</v>
      </c>
      <c r="EG90" s="225" t="str">
        <f>IF($C90&gt;=Wirtschaftlichkeit!$T$8,Wirtschaftlichkeit!$T$8,IF(AND($C90&lt;=Wirtschaftlichkeit!$T$8,$C90&gt;=Wirtschaftlichkeit!$T$8*Eingabemaske!$B$18),$C90,"0"))</f>
        <v>0</v>
      </c>
      <c r="EH90" s="222">
        <v>6205</v>
      </c>
      <c r="EI90" s="224">
        <f t="shared" si="104"/>
        <v>0</v>
      </c>
      <c r="EJ90" s="222">
        <v>6205</v>
      </c>
      <c r="EK90" s="226" t="str">
        <f t="shared" si="137"/>
        <v xml:space="preserve"> </v>
      </c>
      <c r="EL90" s="312">
        <v>6205</v>
      </c>
      <c r="EM90" s="286">
        <f>EG90*Wirtschaftlichkeit!$T$5/Wirtschaftlichkeit!$T$7</f>
        <v>0</v>
      </c>
      <c r="EN90" s="284">
        <f t="shared" si="106"/>
        <v>0</v>
      </c>
      <c r="EP90" s="222">
        <v>6205</v>
      </c>
      <c r="EQ90" s="225" t="str">
        <f>IF($C90&gt;=Wirtschaftlichkeit!$U$8,Wirtschaftlichkeit!$U$8,IF(AND($C90&lt;=Wirtschaftlichkeit!$U$8,$C90&gt;=Wirtschaftlichkeit!$U$8*Eingabemaske!$B$18),$C90,"0"))</f>
        <v>0</v>
      </c>
      <c r="ER90" s="222">
        <v>6205</v>
      </c>
      <c r="ES90" s="224">
        <f t="shared" si="107"/>
        <v>0</v>
      </c>
      <c r="ET90" s="222">
        <v>6205</v>
      </c>
      <c r="EU90" s="226" t="str">
        <f t="shared" si="138"/>
        <v xml:space="preserve"> </v>
      </c>
      <c r="EV90" s="312">
        <v>6205</v>
      </c>
      <c r="EW90" s="286">
        <f>EQ90*Wirtschaftlichkeit!$U$5/Wirtschaftlichkeit!$U$7</f>
        <v>0</v>
      </c>
      <c r="EX90" s="284">
        <f t="shared" si="109"/>
        <v>0</v>
      </c>
      <c r="EZ90" s="222">
        <v>6205</v>
      </c>
      <c r="FA90" s="225" t="str">
        <f>IF($C90&gt;=Wirtschaftlichkeit!$V$8,Wirtschaftlichkeit!$V$8,IF(AND($C90&lt;=Wirtschaftlichkeit!$V$8,$C90&gt;=Wirtschaftlichkeit!$V$8*Eingabemaske!$B$18),$C90,"0"))</f>
        <v>0</v>
      </c>
      <c r="FB90" s="222">
        <v>6205</v>
      </c>
      <c r="FC90" s="224">
        <f t="shared" si="110"/>
        <v>0</v>
      </c>
      <c r="FD90" s="222">
        <v>6205</v>
      </c>
      <c r="FE90" s="226" t="str">
        <f t="shared" si="139"/>
        <v xml:space="preserve"> </v>
      </c>
      <c r="FF90" s="312">
        <v>6205</v>
      </c>
      <c r="FG90" s="286">
        <f>FA90*Wirtschaftlichkeit!$V$5/Wirtschaftlichkeit!$V$7</f>
        <v>0</v>
      </c>
      <c r="FH90" s="284">
        <f t="shared" si="112"/>
        <v>0</v>
      </c>
      <c r="FJ90" s="222">
        <v>6205</v>
      </c>
      <c r="FK90" s="225" t="str">
        <f>IF($C90&gt;=Wirtschaftlichkeit!$W$8,Wirtschaftlichkeit!$W$8,IF(AND($C90&lt;=Wirtschaftlichkeit!$W$8,$C90&gt;=Wirtschaftlichkeit!$W$8*Eingabemaske!$B$18),$C90,"0"))</f>
        <v>0</v>
      </c>
      <c r="FL90" s="222">
        <v>6205</v>
      </c>
      <c r="FM90" s="224">
        <f t="shared" si="113"/>
        <v>0</v>
      </c>
      <c r="FN90" s="222">
        <v>6205</v>
      </c>
      <c r="FO90" s="226" t="str">
        <f t="shared" si="140"/>
        <v xml:space="preserve"> </v>
      </c>
      <c r="FP90" s="312">
        <v>6205</v>
      </c>
      <c r="FQ90" s="286">
        <f>FK90*Wirtschaftlichkeit!$W$5/Wirtschaftlichkeit!$W$7</f>
        <v>0</v>
      </c>
      <c r="FR90" s="284">
        <f t="shared" si="115"/>
        <v>0</v>
      </c>
      <c r="FT90" s="222">
        <v>6205</v>
      </c>
      <c r="FU90" s="225" t="str">
        <f>IF($C90&gt;=Wirtschaftlichkeit!$X$8,Wirtschaftlichkeit!$X$8,IF(AND($C90&lt;=Wirtschaftlichkeit!$X$8,$C90&gt;=Wirtschaftlichkeit!$X$8*Eingabemaske!$B$18),$C90,"0"))</f>
        <v>0</v>
      </c>
      <c r="FV90" s="222">
        <v>6205</v>
      </c>
      <c r="FW90" s="224">
        <f t="shared" si="116"/>
        <v>0</v>
      </c>
      <c r="FX90" s="222">
        <v>6205</v>
      </c>
      <c r="FY90" s="226" t="str">
        <f t="shared" si="141"/>
        <v xml:space="preserve"> </v>
      </c>
      <c r="FZ90" s="312">
        <v>6205</v>
      </c>
      <c r="GA90" s="286">
        <f>FU90*Wirtschaftlichkeit!$X$5/Wirtschaftlichkeit!$X$7</f>
        <v>0</v>
      </c>
      <c r="GB90" s="284">
        <f t="shared" si="118"/>
        <v>0</v>
      </c>
      <c r="GD90" s="222">
        <v>6205</v>
      </c>
      <c r="GE90" s="225" t="str">
        <f>IF($C90&gt;=Wirtschaftlichkeit!$Y$8,Wirtschaftlichkeit!$Y$8,IF(AND($C90&lt;=Wirtschaftlichkeit!$Y$8,$C90&gt;=Wirtschaftlichkeit!$Y$8*Eingabemaske!$B$18),$C90,"0"))</f>
        <v>0</v>
      </c>
      <c r="GF90" s="222">
        <v>6205</v>
      </c>
      <c r="GG90" s="224">
        <f t="shared" si="119"/>
        <v>0</v>
      </c>
      <c r="GH90" s="222">
        <v>6205</v>
      </c>
      <c r="GI90" s="226" t="str">
        <f t="shared" si="142"/>
        <v xml:space="preserve"> </v>
      </c>
      <c r="GJ90" s="312">
        <v>6205</v>
      </c>
      <c r="GK90" s="286">
        <f>GE90*Wirtschaftlichkeit!$Y$5/Wirtschaftlichkeit!$Y$7</f>
        <v>0</v>
      </c>
      <c r="GL90" s="284">
        <f t="shared" si="121"/>
        <v>0</v>
      </c>
      <c r="GN90" s="222">
        <v>6205</v>
      </c>
      <c r="GO90" s="225" t="str">
        <f>IF($C90&gt;=Wirtschaftlichkeit!$Z$8,Wirtschaftlichkeit!$Z$8,IF(AND($C90&lt;=Wirtschaftlichkeit!$Z$8,$C90&gt;=Wirtschaftlichkeit!$Z$8*Eingabemaske!$B$18),$C90,"0"))</f>
        <v>0</v>
      </c>
      <c r="GP90" s="222">
        <v>6205</v>
      </c>
      <c r="GQ90" s="224">
        <f t="shared" si="122"/>
        <v>0</v>
      </c>
      <c r="GR90" s="222">
        <v>6205</v>
      </c>
      <c r="GS90" s="226" t="str">
        <f t="shared" si="143"/>
        <v xml:space="preserve"> </v>
      </c>
      <c r="GT90" s="312">
        <v>6205</v>
      </c>
      <c r="GU90" s="286">
        <f>GO90*Wirtschaftlichkeit!$Z$5/Wirtschaftlichkeit!$Z$7</f>
        <v>0</v>
      </c>
      <c r="GV90" s="284">
        <f t="shared" si="124"/>
        <v>0</v>
      </c>
      <c r="GW90" s="266"/>
      <c r="GX90" s="258">
        <v>6205</v>
      </c>
      <c r="GY90" s="270" t="str">
        <f>IF(Berechnung_Diagramme!$C$28=Berechnungen_Lastgang!$F$2,Berechnungen_Lastgang!G90,IF(Berechnung_Diagramme!$C$28=Berechnungen_Lastgang!$P$2,Berechnungen_Lastgang!Q90,IF(Berechnung_Diagramme!$C$28=Berechnungen_Lastgang!$Z$2,Berechnungen_Lastgang!AA90,IF(Berechnung_Diagramme!$C$28=Berechnungen_Lastgang!$AJ$2,Berechnungen_Lastgang!AK90,IF(Berechnung_Diagramme!$C$28=Berechnungen_Lastgang!$AT$2,Berechnungen_Lastgang!AU90,IF(Berechnung_Diagramme!$C$28=Berechnungen_Lastgang!$BD$2,Berechnungen_Lastgang!BE90,IF(Berechnung_Diagramme!$C$28=Berechnungen_Lastgang!$BN$2,Berechnungen_Lastgang!BO90,IF(Berechnung_Diagramme!$C$28=Berechnungen_Lastgang!$BX$2,Berechnungen_Lastgang!BY90,IF(Berechnung_Diagramme!$C$28=Berechnungen_Lastgang!$CH$2,Berechnungen_Lastgang!CI90,IF(Berechnung_Diagramme!$C$28=Berechnungen_Lastgang!$CR$2,Berechnungen_Lastgang!CS90,IF(Berechnung_Diagramme!$C$28=Berechnungen_Lastgang!$DB$2,Berechnungen_Lastgang!DC90,IF(Berechnung_Diagramme!$C$28=Berechnungen_Lastgang!$DL$2,Berechnungen_Lastgang!DM90,IF(Berechnung_Diagramme!$C$28=Berechnungen_Lastgang!$DV$2,Berechnungen_Lastgang!DW90,IF(Berechnung_Diagramme!$C$28=Berechnungen_Lastgang!$EF$2,Berechnungen_Lastgang!EG90,IF(Berechnung_Diagramme!$C$28=Berechnungen_Lastgang!$EP$2,Berechnungen_Lastgang!EQ90,IF(Berechnung_Diagramme!$C$28=Berechnungen_Lastgang!$EZ$2,Berechnungen_Lastgang!FA90,IF(Berechnung_Diagramme!$C$28=Berechnungen_Lastgang!$FJ$2,Berechnungen_Lastgang!FK90,IF(Berechnung_Diagramme!$C$28=Berechnungen_Lastgang!$FT$2,Berechnungen_Lastgang!FU90,IF(Berechnung_Diagramme!$C$28=Berechnungen_Lastgang!$GD$2,Berechnungen_Lastgang!GE90,IF(Berechnung_Diagramme!$C$28=Berechnungen_Lastgang!$GN$2,Berechnungen_Lastgang!GO90,""))))))))))))))))))))</f>
        <v>0</v>
      </c>
    </row>
    <row r="91" spans="2:207" x14ac:dyDescent="0.25">
      <c r="B91" s="64">
        <v>6278</v>
      </c>
      <c r="C91" s="67">
        <f>C90+((C95-C90)/(B95-B90))*(B91-B90)</f>
        <v>5.25366</v>
      </c>
      <c r="D91" s="66">
        <f t="shared" si="64"/>
        <v>373.16614499999997</v>
      </c>
      <c r="F91" s="64">
        <v>6278</v>
      </c>
      <c r="G91" s="225">
        <f>IF($C91&gt;=Wirtschaftlichkeit!$G$8,Wirtschaftlichkeit!$G$8,IF(AND($C91&lt;=Wirtschaftlichkeit!$G$8,$C91&gt;=Wirtschaftlichkeit!$G$8*Eingabemaske!$B$18),$C91,"0"))</f>
        <v>2.8333333333333335</v>
      </c>
      <c r="H91" s="64">
        <v>6278</v>
      </c>
      <c r="I91" s="66">
        <f t="shared" si="65"/>
        <v>206.83333333333334</v>
      </c>
      <c r="J91" s="64">
        <v>6278</v>
      </c>
      <c r="K91" s="71">
        <f t="shared" si="66"/>
        <v>2.8333333333333335</v>
      </c>
      <c r="L91" s="312">
        <v>6278</v>
      </c>
      <c r="M91" s="286">
        <f>G91*Wirtschaftlichkeit!$G$5/Wirtschaftlichkeit!$G$7</f>
        <v>1</v>
      </c>
      <c r="N91" s="284">
        <f t="shared" si="67"/>
        <v>73</v>
      </c>
      <c r="P91" s="222">
        <v>6278</v>
      </c>
      <c r="Q91" s="225">
        <f>IF($C91&gt;=Wirtschaftlichkeit!$H$8,Wirtschaftlichkeit!$H$8,IF(AND($C91&lt;=Wirtschaftlichkeit!$H$8,$C91&gt;=Wirtschaftlichkeit!$H$8*Eingabemaske!$B$18),$C91,"0"))</f>
        <v>5.25366</v>
      </c>
      <c r="R91" s="222">
        <v>6278</v>
      </c>
      <c r="S91" s="224">
        <f t="shared" si="68"/>
        <v>373.16614499999997</v>
      </c>
      <c r="T91" s="222">
        <v>6278</v>
      </c>
      <c r="U91" s="226">
        <f t="shared" si="125"/>
        <v>5.25366</v>
      </c>
      <c r="V91" s="312">
        <v>6278</v>
      </c>
      <c r="W91" s="286">
        <f>Q91*Wirtschaftlichkeit!$H$5/Wirtschaftlichkeit!$H$7</f>
        <v>1.8804613284132841</v>
      </c>
      <c r="X91" s="284">
        <f t="shared" si="70"/>
        <v>133.56869396678965</v>
      </c>
      <c r="Z91" s="222">
        <v>6278</v>
      </c>
      <c r="AA91" s="225">
        <f>IF($C91&gt;=Wirtschaftlichkeit!$I$8,Wirtschaftlichkeit!$I$8,IF(AND($C91&lt;=Wirtschaftlichkeit!$I$8,$C91&gt;=Wirtschaftlichkeit!$I$8*Eingabemaske!$B$18),$C91,"0"))</f>
        <v>5.25366</v>
      </c>
      <c r="AB91" s="222">
        <v>6278</v>
      </c>
      <c r="AC91" s="224">
        <f t="shared" si="71"/>
        <v>373.16614499999997</v>
      </c>
      <c r="AD91" s="222">
        <v>6278</v>
      </c>
      <c r="AE91" s="226">
        <f t="shared" si="126"/>
        <v>5.25366</v>
      </c>
      <c r="AF91" s="312">
        <v>6278</v>
      </c>
      <c r="AG91" s="286">
        <f>AA91*Wirtschaftlichkeit!$I$5/Wirtschaftlichkeit!$I$7</f>
        <v>1.9110786929986037</v>
      </c>
      <c r="AH91" s="284">
        <f t="shared" si="73"/>
        <v>135.74343765259408</v>
      </c>
      <c r="AJ91" s="222">
        <v>6278</v>
      </c>
      <c r="AK91" s="225" t="str">
        <f>IF($C91&gt;=Wirtschaftlichkeit!$J$8,Wirtschaftlichkeit!$J$8,IF(AND($C91&lt;=Wirtschaftlichkeit!$J$8,$C91&gt;=Wirtschaftlichkeit!$J$8*Eingabemaske!$B$18),$C91,"0"))</f>
        <v>0</v>
      </c>
      <c r="AL91" s="222">
        <v>6278</v>
      </c>
      <c r="AM91" s="224">
        <f t="shared" si="74"/>
        <v>0</v>
      </c>
      <c r="AN91" s="222">
        <v>6278</v>
      </c>
      <c r="AO91" s="226" t="str">
        <f t="shared" si="127"/>
        <v xml:space="preserve"> </v>
      </c>
      <c r="AP91" s="312">
        <v>6278</v>
      </c>
      <c r="AQ91" s="286">
        <f>AK91*Wirtschaftlichkeit!$J$5/Wirtschaftlichkeit!$J$7</f>
        <v>0</v>
      </c>
      <c r="AR91" s="284">
        <f t="shared" si="76"/>
        <v>0</v>
      </c>
      <c r="AT91" s="222">
        <v>6278</v>
      </c>
      <c r="AU91" s="225" t="str">
        <f>IF($C91&gt;=Wirtschaftlichkeit!$K$8,Wirtschaftlichkeit!$K$8,IF(AND($C91&lt;=Wirtschaftlichkeit!$K$8,$C91&gt;=Wirtschaftlichkeit!$K$8*Eingabemaske!$B$18),$C91,"0"))</f>
        <v>0</v>
      </c>
      <c r="AV91" s="222">
        <v>6278</v>
      </c>
      <c r="AW91" s="224">
        <f t="shared" si="77"/>
        <v>0</v>
      </c>
      <c r="AX91" s="222">
        <v>6278</v>
      </c>
      <c r="AY91" s="226" t="str">
        <f t="shared" si="128"/>
        <v xml:space="preserve"> </v>
      </c>
      <c r="AZ91" s="312">
        <v>6278</v>
      </c>
      <c r="BA91" s="286">
        <f>AU91*Wirtschaftlichkeit!$K$5/Wirtschaftlichkeit!$K$7</f>
        <v>0</v>
      </c>
      <c r="BB91" s="284">
        <f t="shared" si="79"/>
        <v>0</v>
      </c>
      <c r="BD91" s="222">
        <v>6278</v>
      </c>
      <c r="BE91" s="225" t="str">
        <f>IF($C91&gt;=Wirtschaftlichkeit!$L$8,Wirtschaftlichkeit!$L$8,IF(AND($C91&lt;=Wirtschaftlichkeit!$L$8,$C91&gt;=Wirtschaftlichkeit!$L$8*Eingabemaske!$B$18),$C91,"0"))</f>
        <v>0</v>
      </c>
      <c r="BF91" s="222">
        <v>6278</v>
      </c>
      <c r="BG91" s="224">
        <f t="shared" si="80"/>
        <v>0</v>
      </c>
      <c r="BH91" s="222">
        <v>6278</v>
      </c>
      <c r="BI91" s="226" t="str">
        <f t="shared" si="129"/>
        <v xml:space="preserve"> </v>
      </c>
      <c r="BJ91" s="312">
        <v>6278</v>
      </c>
      <c r="BK91" s="286">
        <f>BE91*Wirtschaftlichkeit!$L$5/Wirtschaftlichkeit!$L$7</f>
        <v>0</v>
      </c>
      <c r="BL91" s="284">
        <f t="shared" si="82"/>
        <v>0</v>
      </c>
      <c r="BN91" s="222">
        <v>6278</v>
      </c>
      <c r="BO91" s="225" t="str">
        <f>IF($C91&gt;=Wirtschaftlichkeit!$M$8,Wirtschaftlichkeit!$M$8,IF(AND($C91&lt;=Wirtschaftlichkeit!$M$8,$C91&gt;=Wirtschaftlichkeit!$M$8*Eingabemaske!$B$18),$C91,"0"))</f>
        <v>0</v>
      </c>
      <c r="BP91" s="222">
        <v>6278</v>
      </c>
      <c r="BQ91" s="224">
        <f t="shared" si="83"/>
        <v>0</v>
      </c>
      <c r="BR91" s="222">
        <v>6278</v>
      </c>
      <c r="BS91" s="226" t="str">
        <f t="shared" si="130"/>
        <v xml:space="preserve"> </v>
      </c>
      <c r="BT91" s="312">
        <v>6278</v>
      </c>
      <c r="BU91" s="286">
        <f>BO91*Wirtschaftlichkeit!$M$5/Wirtschaftlichkeit!$M$7</f>
        <v>0</v>
      </c>
      <c r="BV91" s="284">
        <f t="shared" si="85"/>
        <v>0</v>
      </c>
      <c r="BX91" s="222">
        <v>6278</v>
      </c>
      <c r="BY91" s="225" t="str">
        <f>IF($C91&gt;=Wirtschaftlichkeit!$N$8,Wirtschaftlichkeit!$N$8,IF(AND($C91&lt;=Wirtschaftlichkeit!$N$8,$C91&gt;=Wirtschaftlichkeit!$N$8*Eingabemaske!$B$18),$C91,"0"))</f>
        <v>0</v>
      </c>
      <c r="BZ91" s="222">
        <v>6278</v>
      </c>
      <c r="CA91" s="224">
        <f t="shared" si="86"/>
        <v>0</v>
      </c>
      <c r="CB91" s="222">
        <v>6278</v>
      </c>
      <c r="CC91" s="226" t="str">
        <f t="shared" si="131"/>
        <v xml:space="preserve"> </v>
      </c>
      <c r="CD91" s="312">
        <v>6278</v>
      </c>
      <c r="CE91" s="286">
        <f>BY91*Wirtschaftlichkeit!$N$5/Wirtschaftlichkeit!$N$7</f>
        <v>0</v>
      </c>
      <c r="CF91" s="284">
        <f t="shared" si="88"/>
        <v>0</v>
      </c>
      <c r="CH91" s="222">
        <v>6278</v>
      </c>
      <c r="CI91" s="225" t="str">
        <f>IF($C91&gt;=Wirtschaftlichkeit!$O$8,Wirtschaftlichkeit!$O$8,IF(AND($C91&lt;=Wirtschaftlichkeit!$O$8,$C91&gt;=Wirtschaftlichkeit!$O$8*Eingabemaske!$B$18),$C91,"0"))</f>
        <v>0</v>
      </c>
      <c r="CJ91" s="222">
        <v>6278</v>
      </c>
      <c r="CK91" s="224">
        <f t="shared" si="89"/>
        <v>0</v>
      </c>
      <c r="CL91" s="222">
        <v>6278</v>
      </c>
      <c r="CM91" s="226" t="str">
        <f t="shared" si="132"/>
        <v xml:space="preserve"> </v>
      </c>
      <c r="CN91" s="312">
        <v>6278</v>
      </c>
      <c r="CO91" s="286">
        <f>CI91*Wirtschaftlichkeit!$O$5/Wirtschaftlichkeit!$O$7</f>
        <v>0</v>
      </c>
      <c r="CP91" s="284">
        <f t="shared" si="91"/>
        <v>0</v>
      </c>
      <c r="CR91" s="222">
        <v>6278</v>
      </c>
      <c r="CS91" s="225" t="str">
        <f>IF($C91&gt;=Wirtschaftlichkeit!$P$8,Wirtschaftlichkeit!$P$8,IF(AND($C91&lt;=Wirtschaftlichkeit!$P$8,$C91&gt;=Wirtschaftlichkeit!$P$8*Eingabemaske!$B$18),$C91,"0"))</f>
        <v>0</v>
      </c>
      <c r="CT91" s="222">
        <v>6278</v>
      </c>
      <c r="CU91" s="224">
        <f t="shared" si="92"/>
        <v>0</v>
      </c>
      <c r="CV91" s="222">
        <v>6278</v>
      </c>
      <c r="CW91" s="226" t="str">
        <f t="shared" si="133"/>
        <v xml:space="preserve"> </v>
      </c>
      <c r="CX91" s="312">
        <v>6278</v>
      </c>
      <c r="CY91" s="286">
        <f>CS91*Wirtschaftlichkeit!$P$5/Wirtschaftlichkeit!$P$7</f>
        <v>0</v>
      </c>
      <c r="CZ91" s="284">
        <f t="shared" si="94"/>
        <v>0</v>
      </c>
      <c r="DB91" s="222">
        <v>6278</v>
      </c>
      <c r="DC91" s="225" t="str">
        <f>IF($C91&gt;=Wirtschaftlichkeit!$Q$8,Wirtschaftlichkeit!$Q$8,IF(AND($C91&lt;=Wirtschaftlichkeit!$Q$8,$C91&gt;=Wirtschaftlichkeit!$Q$8*Eingabemaske!$B$18),$C91,"0"))</f>
        <v>0</v>
      </c>
      <c r="DD91" s="222">
        <v>6278</v>
      </c>
      <c r="DE91" s="224">
        <f t="shared" si="95"/>
        <v>0</v>
      </c>
      <c r="DF91" s="222">
        <v>6278</v>
      </c>
      <c r="DG91" s="226" t="str">
        <f t="shared" si="134"/>
        <v xml:space="preserve"> </v>
      </c>
      <c r="DH91" s="312">
        <v>6278</v>
      </c>
      <c r="DI91" s="286">
        <f>DC91*Wirtschaftlichkeit!$Q$5/Wirtschaftlichkeit!$Q$7</f>
        <v>0</v>
      </c>
      <c r="DJ91" s="284">
        <f t="shared" si="97"/>
        <v>0</v>
      </c>
      <c r="DL91" s="222">
        <v>6278</v>
      </c>
      <c r="DM91" s="225" t="str">
        <f>IF($C91&gt;=Wirtschaftlichkeit!$R$8,Wirtschaftlichkeit!$R$8,IF(AND($C91&lt;=Wirtschaftlichkeit!$R$8,$C91&gt;=Wirtschaftlichkeit!$R$8*Eingabemaske!$B$18),$C91,"0"))</f>
        <v>0</v>
      </c>
      <c r="DN91" s="222">
        <v>6278</v>
      </c>
      <c r="DO91" s="224">
        <f t="shared" si="98"/>
        <v>0</v>
      </c>
      <c r="DP91" s="222">
        <v>6278</v>
      </c>
      <c r="DQ91" s="226" t="str">
        <f t="shared" si="135"/>
        <v xml:space="preserve"> </v>
      </c>
      <c r="DR91" s="312">
        <v>6278</v>
      </c>
      <c r="DS91" s="286">
        <f>DM91*Wirtschaftlichkeit!$R$5/Wirtschaftlichkeit!$R$7</f>
        <v>0</v>
      </c>
      <c r="DT91" s="284">
        <f t="shared" si="100"/>
        <v>0</v>
      </c>
      <c r="DV91" s="222">
        <v>6278</v>
      </c>
      <c r="DW91" s="225" t="str">
        <f>IF($C91&gt;=Wirtschaftlichkeit!$S$8,Wirtschaftlichkeit!$S$8,IF(AND($C91&lt;=Wirtschaftlichkeit!$S$8,$C91&gt;=Wirtschaftlichkeit!$S$8*Eingabemaske!$B$18),$C91,"0"))</f>
        <v>0</v>
      </c>
      <c r="DX91" s="222">
        <v>6278</v>
      </c>
      <c r="DY91" s="224">
        <f t="shared" si="101"/>
        <v>0</v>
      </c>
      <c r="DZ91" s="222">
        <v>6278</v>
      </c>
      <c r="EA91" s="226" t="str">
        <f t="shared" si="136"/>
        <v xml:space="preserve"> </v>
      </c>
      <c r="EB91" s="312">
        <v>6278</v>
      </c>
      <c r="EC91" s="286">
        <f>DW91*Wirtschaftlichkeit!$S$5/Wirtschaftlichkeit!$S$7</f>
        <v>0</v>
      </c>
      <c r="ED91" s="284">
        <f t="shared" si="103"/>
        <v>0</v>
      </c>
      <c r="EF91" s="222">
        <v>6278</v>
      </c>
      <c r="EG91" s="225" t="str">
        <f>IF($C91&gt;=Wirtschaftlichkeit!$T$8,Wirtschaftlichkeit!$T$8,IF(AND($C91&lt;=Wirtschaftlichkeit!$T$8,$C91&gt;=Wirtschaftlichkeit!$T$8*Eingabemaske!$B$18),$C91,"0"))</f>
        <v>0</v>
      </c>
      <c r="EH91" s="222">
        <v>6278</v>
      </c>
      <c r="EI91" s="224">
        <f t="shared" si="104"/>
        <v>0</v>
      </c>
      <c r="EJ91" s="222">
        <v>6278</v>
      </c>
      <c r="EK91" s="226" t="str">
        <f t="shared" si="137"/>
        <v xml:space="preserve"> </v>
      </c>
      <c r="EL91" s="312">
        <v>6278</v>
      </c>
      <c r="EM91" s="286">
        <f>EG91*Wirtschaftlichkeit!$T$5/Wirtschaftlichkeit!$T$7</f>
        <v>0</v>
      </c>
      <c r="EN91" s="284">
        <f t="shared" si="106"/>
        <v>0</v>
      </c>
      <c r="EP91" s="222">
        <v>6278</v>
      </c>
      <c r="EQ91" s="225" t="str">
        <f>IF($C91&gt;=Wirtschaftlichkeit!$U$8,Wirtschaftlichkeit!$U$8,IF(AND($C91&lt;=Wirtschaftlichkeit!$U$8,$C91&gt;=Wirtschaftlichkeit!$U$8*Eingabemaske!$B$18),$C91,"0"))</f>
        <v>0</v>
      </c>
      <c r="ER91" s="222">
        <v>6278</v>
      </c>
      <c r="ES91" s="224">
        <f t="shared" si="107"/>
        <v>0</v>
      </c>
      <c r="ET91" s="222">
        <v>6278</v>
      </c>
      <c r="EU91" s="226" t="str">
        <f t="shared" si="138"/>
        <v xml:space="preserve"> </v>
      </c>
      <c r="EV91" s="312">
        <v>6278</v>
      </c>
      <c r="EW91" s="286">
        <f>EQ91*Wirtschaftlichkeit!$U$5/Wirtschaftlichkeit!$U$7</f>
        <v>0</v>
      </c>
      <c r="EX91" s="284">
        <f t="shared" si="109"/>
        <v>0</v>
      </c>
      <c r="EZ91" s="222">
        <v>6278</v>
      </c>
      <c r="FA91" s="225" t="str">
        <f>IF($C91&gt;=Wirtschaftlichkeit!$V$8,Wirtschaftlichkeit!$V$8,IF(AND($C91&lt;=Wirtschaftlichkeit!$V$8,$C91&gt;=Wirtschaftlichkeit!$V$8*Eingabemaske!$B$18),$C91,"0"))</f>
        <v>0</v>
      </c>
      <c r="FB91" s="222">
        <v>6278</v>
      </c>
      <c r="FC91" s="224">
        <f t="shared" si="110"/>
        <v>0</v>
      </c>
      <c r="FD91" s="222">
        <v>6278</v>
      </c>
      <c r="FE91" s="226" t="str">
        <f t="shared" si="139"/>
        <v xml:space="preserve"> </v>
      </c>
      <c r="FF91" s="312">
        <v>6278</v>
      </c>
      <c r="FG91" s="286">
        <f>FA91*Wirtschaftlichkeit!$V$5/Wirtschaftlichkeit!$V$7</f>
        <v>0</v>
      </c>
      <c r="FH91" s="284">
        <f t="shared" si="112"/>
        <v>0</v>
      </c>
      <c r="FJ91" s="222">
        <v>6278</v>
      </c>
      <c r="FK91" s="225" t="str">
        <f>IF($C91&gt;=Wirtschaftlichkeit!$W$8,Wirtschaftlichkeit!$W$8,IF(AND($C91&lt;=Wirtschaftlichkeit!$W$8,$C91&gt;=Wirtschaftlichkeit!$W$8*Eingabemaske!$B$18),$C91,"0"))</f>
        <v>0</v>
      </c>
      <c r="FL91" s="222">
        <v>6278</v>
      </c>
      <c r="FM91" s="224">
        <f t="shared" si="113"/>
        <v>0</v>
      </c>
      <c r="FN91" s="222">
        <v>6278</v>
      </c>
      <c r="FO91" s="226" t="str">
        <f t="shared" si="140"/>
        <v xml:space="preserve"> </v>
      </c>
      <c r="FP91" s="312">
        <v>6278</v>
      </c>
      <c r="FQ91" s="286">
        <f>FK91*Wirtschaftlichkeit!$W$5/Wirtschaftlichkeit!$W$7</f>
        <v>0</v>
      </c>
      <c r="FR91" s="284">
        <f t="shared" si="115"/>
        <v>0</v>
      </c>
      <c r="FT91" s="222">
        <v>6278</v>
      </c>
      <c r="FU91" s="225" t="str">
        <f>IF($C91&gt;=Wirtschaftlichkeit!$X$8,Wirtschaftlichkeit!$X$8,IF(AND($C91&lt;=Wirtschaftlichkeit!$X$8,$C91&gt;=Wirtschaftlichkeit!$X$8*Eingabemaske!$B$18),$C91,"0"))</f>
        <v>0</v>
      </c>
      <c r="FV91" s="222">
        <v>6278</v>
      </c>
      <c r="FW91" s="224">
        <f t="shared" si="116"/>
        <v>0</v>
      </c>
      <c r="FX91" s="222">
        <v>6278</v>
      </c>
      <c r="FY91" s="226" t="str">
        <f t="shared" si="141"/>
        <v xml:space="preserve"> </v>
      </c>
      <c r="FZ91" s="312">
        <v>6278</v>
      </c>
      <c r="GA91" s="286">
        <f>FU91*Wirtschaftlichkeit!$X$5/Wirtschaftlichkeit!$X$7</f>
        <v>0</v>
      </c>
      <c r="GB91" s="284">
        <f t="shared" si="118"/>
        <v>0</v>
      </c>
      <c r="GD91" s="222">
        <v>6278</v>
      </c>
      <c r="GE91" s="225" t="str">
        <f>IF($C91&gt;=Wirtschaftlichkeit!$Y$8,Wirtschaftlichkeit!$Y$8,IF(AND($C91&lt;=Wirtschaftlichkeit!$Y$8,$C91&gt;=Wirtschaftlichkeit!$Y$8*Eingabemaske!$B$18),$C91,"0"))</f>
        <v>0</v>
      </c>
      <c r="GF91" s="222">
        <v>6278</v>
      </c>
      <c r="GG91" s="224">
        <f t="shared" si="119"/>
        <v>0</v>
      </c>
      <c r="GH91" s="222">
        <v>6278</v>
      </c>
      <c r="GI91" s="226" t="str">
        <f t="shared" si="142"/>
        <v xml:space="preserve"> </v>
      </c>
      <c r="GJ91" s="312">
        <v>6278</v>
      </c>
      <c r="GK91" s="286">
        <f>GE91*Wirtschaftlichkeit!$Y$5/Wirtschaftlichkeit!$Y$7</f>
        <v>0</v>
      </c>
      <c r="GL91" s="284">
        <f t="shared" si="121"/>
        <v>0</v>
      </c>
      <c r="GN91" s="222">
        <v>6278</v>
      </c>
      <c r="GO91" s="225" t="str">
        <f>IF($C91&gt;=Wirtschaftlichkeit!$Z$8,Wirtschaftlichkeit!$Z$8,IF(AND($C91&lt;=Wirtschaftlichkeit!$Z$8,$C91&gt;=Wirtschaftlichkeit!$Z$8*Eingabemaske!$B$18),$C91,"0"))</f>
        <v>0</v>
      </c>
      <c r="GP91" s="222">
        <v>6278</v>
      </c>
      <c r="GQ91" s="224">
        <f t="shared" si="122"/>
        <v>0</v>
      </c>
      <c r="GR91" s="222">
        <v>6278</v>
      </c>
      <c r="GS91" s="226" t="str">
        <f t="shared" si="143"/>
        <v xml:space="preserve"> </v>
      </c>
      <c r="GT91" s="312">
        <v>6278</v>
      </c>
      <c r="GU91" s="286">
        <f>GO91*Wirtschaftlichkeit!$Z$5/Wirtschaftlichkeit!$Z$7</f>
        <v>0</v>
      </c>
      <c r="GV91" s="284">
        <f t="shared" si="124"/>
        <v>0</v>
      </c>
      <c r="GW91" s="266"/>
      <c r="GX91" s="258">
        <v>6278</v>
      </c>
      <c r="GY91" s="270" t="str">
        <f>IF(Berechnung_Diagramme!$C$28=Berechnungen_Lastgang!$F$2,Berechnungen_Lastgang!G91,IF(Berechnung_Diagramme!$C$28=Berechnungen_Lastgang!$P$2,Berechnungen_Lastgang!Q91,IF(Berechnung_Diagramme!$C$28=Berechnungen_Lastgang!$Z$2,Berechnungen_Lastgang!AA91,IF(Berechnung_Diagramme!$C$28=Berechnungen_Lastgang!$AJ$2,Berechnungen_Lastgang!AK91,IF(Berechnung_Diagramme!$C$28=Berechnungen_Lastgang!$AT$2,Berechnungen_Lastgang!AU91,IF(Berechnung_Diagramme!$C$28=Berechnungen_Lastgang!$BD$2,Berechnungen_Lastgang!BE91,IF(Berechnung_Diagramme!$C$28=Berechnungen_Lastgang!$BN$2,Berechnungen_Lastgang!BO91,IF(Berechnung_Diagramme!$C$28=Berechnungen_Lastgang!$BX$2,Berechnungen_Lastgang!BY91,IF(Berechnung_Diagramme!$C$28=Berechnungen_Lastgang!$CH$2,Berechnungen_Lastgang!CI91,IF(Berechnung_Diagramme!$C$28=Berechnungen_Lastgang!$CR$2,Berechnungen_Lastgang!CS91,IF(Berechnung_Diagramme!$C$28=Berechnungen_Lastgang!$DB$2,Berechnungen_Lastgang!DC91,IF(Berechnung_Diagramme!$C$28=Berechnungen_Lastgang!$DL$2,Berechnungen_Lastgang!DM91,IF(Berechnung_Diagramme!$C$28=Berechnungen_Lastgang!$DV$2,Berechnungen_Lastgang!DW91,IF(Berechnung_Diagramme!$C$28=Berechnungen_Lastgang!$EF$2,Berechnungen_Lastgang!EG91,IF(Berechnung_Diagramme!$C$28=Berechnungen_Lastgang!$EP$2,Berechnungen_Lastgang!EQ91,IF(Berechnung_Diagramme!$C$28=Berechnungen_Lastgang!$EZ$2,Berechnungen_Lastgang!FA91,IF(Berechnung_Diagramme!$C$28=Berechnungen_Lastgang!$FJ$2,Berechnungen_Lastgang!FK91,IF(Berechnung_Diagramme!$C$28=Berechnungen_Lastgang!$FT$2,Berechnungen_Lastgang!FU91,IF(Berechnung_Diagramme!$C$28=Berechnungen_Lastgang!$GD$2,Berechnungen_Lastgang!GE91,IF(Berechnung_Diagramme!$C$28=Berechnungen_Lastgang!$GN$2,Berechnungen_Lastgang!GO91,""))))))))))))))))))))</f>
        <v>0</v>
      </c>
    </row>
    <row r="92" spans="2:207" x14ac:dyDescent="0.25">
      <c r="B92" s="64">
        <v>6351</v>
      </c>
      <c r="C92" s="67">
        <f>C91+((C95-C91)/(B95-B91))*(B92-B91)</f>
        <v>4.9700699999999998</v>
      </c>
      <c r="D92" s="66">
        <f t="shared" si="64"/>
        <v>352.46407499999998</v>
      </c>
      <c r="F92" s="64">
        <v>6351</v>
      </c>
      <c r="G92" s="225">
        <f>IF($C92&gt;=Wirtschaftlichkeit!$G$8,Wirtschaftlichkeit!$G$8,IF(AND($C92&lt;=Wirtschaftlichkeit!$G$8,$C92&gt;=Wirtschaftlichkeit!$G$8*Eingabemaske!$B$18),$C92,"0"))</f>
        <v>2.8333333333333335</v>
      </c>
      <c r="H92" s="64">
        <v>6351</v>
      </c>
      <c r="I92" s="66">
        <f t="shared" si="65"/>
        <v>206.83333333333334</v>
      </c>
      <c r="J92" s="64">
        <v>6351</v>
      </c>
      <c r="K92" s="71">
        <f t="shared" si="66"/>
        <v>2.8333333333333335</v>
      </c>
      <c r="L92" s="312">
        <v>6351</v>
      </c>
      <c r="M92" s="286">
        <f>G92*Wirtschaftlichkeit!$G$5/Wirtschaftlichkeit!$G$7</f>
        <v>1</v>
      </c>
      <c r="N92" s="284">
        <f t="shared" si="67"/>
        <v>73</v>
      </c>
      <c r="P92" s="222">
        <v>6351</v>
      </c>
      <c r="Q92" s="225">
        <f>IF($C92&gt;=Wirtschaftlichkeit!$H$8,Wirtschaftlichkeit!$H$8,IF(AND($C92&lt;=Wirtschaftlichkeit!$H$8,$C92&gt;=Wirtschaftlichkeit!$H$8*Eingabemaske!$B$18),$C92,"0"))</f>
        <v>4.9700699999999998</v>
      </c>
      <c r="R92" s="222">
        <v>6351</v>
      </c>
      <c r="S92" s="224">
        <f t="shared" si="68"/>
        <v>352.46407499999998</v>
      </c>
      <c r="T92" s="222">
        <v>6351</v>
      </c>
      <c r="U92" s="226">
        <f t="shared" si="125"/>
        <v>4.9700699999999998</v>
      </c>
      <c r="V92" s="312">
        <v>6351</v>
      </c>
      <c r="W92" s="286">
        <f>Q92*Wirtschaftlichkeit!$H$5/Wirtschaftlichkeit!$H$7</f>
        <v>1.7789549446494464</v>
      </c>
      <c r="X92" s="284">
        <f t="shared" si="70"/>
        <v>126.15872795202951</v>
      </c>
      <c r="Z92" s="222">
        <v>6351</v>
      </c>
      <c r="AA92" s="225">
        <f>IF($C92&gt;=Wirtschaftlichkeit!$I$8,Wirtschaftlichkeit!$I$8,IF(AND($C92&lt;=Wirtschaftlichkeit!$I$8,$C92&gt;=Wirtschaftlichkeit!$I$8*Eingabemaske!$B$18),$C92,"0"))</f>
        <v>4.9700699999999998</v>
      </c>
      <c r="AB92" s="222">
        <v>6351</v>
      </c>
      <c r="AC92" s="224">
        <f t="shared" si="71"/>
        <v>352.46407499999998</v>
      </c>
      <c r="AD92" s="222">
        <v>6351</v>
      </c>
      <c r="AE92" s="226">
        <f t="shared" si="126"/>
        <v>4.9700699999999998</v>
      </c>
      <c r="AF92" s="312">
        <v>6351</v>
      </c>
      <c r="AG92" s="286">
        <f>AA92*Wirtschaftlichkeit!$I$5/Wirtschaftlichkeit!$I$7</f>
        <v>1.8079195988532888</v>
      </c>
      <c r="AH92" s="284">
        <f t="shared" si="73"/>
        <v>128.21282377998611</v>
      </c>
      <c r="AJ92" s="222">
        <v>6351</v>
      </c>
      <c r="AK92" s="225" t="str">
        <f>IF($C92&gt;=Wirtschaftlichkeit!$J$8,Wirtschaftlichkeit!$J$8,IF(AND($C92&lt;=Wirtschaftlichkeit!$J$8,$C92&gt;=Wirtschaftlichkeit!$J$8*Eingabemaske!$B$18),$C92,"0"))</f>
        <v>0</v>
      </c>
      <c r="AL92" s="222">
        <v>6351</v>
      </c>
      <c r="AM92" s="224">
        <f t="shared" si="74"/>
        <v>0</v>
      </c>
      <c r="AN92" s="222">
        <v>6351</v>
      </c>
      <c r="AO92" s="226" t="str">
        <f t="shared" si="127"/>
        <v xml:space="preserve"> </v>
      </c>
      <c r="AP92" s="312">
        <v>6351</v>
      </c>
      <c r="AQ92" s="286">
        <f>AK92*Wirtschaftlichkeit!$J$5/Wirtschaftlichkeit!$J$7</f>
        <v>0</v>
      </c>
      <c r="AR92" s="284">
        <f t="shared" si="76"/>
        <v>0</v>
      </c>
      <c r="AT92" s="222">
        <v>6351</v>
      </c>
      <c r="AU92" s="225" t="str">
        <f>IF($C92&gt;=Wirtschaftlichkeit!$K$8,Wirtschaftlichkeit!$K$8,IF(AND($C92&lt;=Wirtschaftlichkeit!$K$8,$C92&gt;=Wirtschaftlichkeit!$K$8*Eingabemaske!$B$18),$C92,"0"))</f>
        <v>0</v>
      </c>
      <c r="AV92" s="222">
        <v>6351</v>
      </c>
      <c r="AW92" s="224">
        <f t="shared" si="77"/>
        <v>0</v>
      </c>
      <c r="AX92" s="222">
        <v>6351</v>
      </c>
      <c r="AY92" s="226" t="str">
        <f t="shared" si="128"/>
        <v xml:space="preserve"> </v>
      </c>
      <c r="AZ92" s="312">
        <v>6351</v>
      </c>
      <c r="BA92" s="286">
        <f>AU92*Wirtschaftlichkeit!$K$5/Wirtschaftlichkeit!$K$7</f>
        <v>0</v>
      </c>
      <c r="BB92" s="284">
        <f t="shared" si="79"/>
        <v>0</v>
      </c>
      <c r="BD92" s="222">
        <v>6351</v>
      </c>
      <c r="BE92" s="225" t="str">
        <f>IF($C92&gt;=Wirtschaftlichkeit!$L$8,Wirtschaftlichkeit!$L$8,IF(AND($C92&lt;=Wirtschaftlichkeit!$L$8,$C92&gt;=Wirtschaftlichkeit!$L$8*Eingabemaske!$B$18),$C92,"0"))</f>
        <v>0</v>
      </c>
      <c r="BF92" s="222">
        <v>6351</v>
      </c>
      <c r="BG92" s="224">
        <f t="shared" si="80"/>
        <v>0</v>
      </c>
      <c r="BH92" s="222">
        <v>6351</v>
      </c>
      <c r="BI92" s="226" t="str">
        <f t="shared" si="129"/>
        <v xml:space="preserve"> </v>
      </c>
      <c r="BJ92" s="312">
        <v>6351</v>
      </c>
      <c r="BK92" s="286">
        <f>BE92*Wirtschaftlichkeit!$L$5/Wirtschaftlichkeit!$L$7</f>
        <v>0</v>
      </c>
      <c r="BL92" s="284">
        <f t="shared" si="82"/>
        <v>0</v>
      </c>
      <c r="BN92" s="222">
        <v>6351</v>
      </c>
      <c r="BO92" s="225" t="str">
        <f>IF($C92&gt;=Wirtschaftlichkeit!$M$8,Wirtschaftlichkeit!$M$8,IF(AND($C92&lt;=Wirtschaftlichkeit!$M$8,$C92&gt;=Wirtschaftlichkeit!$M$8*Eingabemaske!$B$18),$C92,"0"))</f>
        <v>0</v>
      </c>
      <c r="BP92" s="222">
        <v>6351</v>
      </c>
      <c r="BQ92" s="224">
        <f t="shared" si="83"/>
        <v>0</v>
      </c>
      <c r="BR92" s="222">
        <v>6351</v>
      </c>
      <c r="BS92" s="226" t="str">
        <f t="shared" si="130"/>
        <v xml:space="preserve"> </v>
      </c>
      <c r="BT92" s="312">
        <v>6351</v>
      </c>
      <c r="BU92" s="286">
        <f>BO92*Wirtschaftlichkeit!$M$5/Wirtschaftlichkeit!$M$7</f>
        <v>0</v>
      </c>
      <c r="BV92" s="284">
        <f t="shared" si="85"/>
        <v>0</v>
      </c>
      <c r="BX92" s="222">
        <v>6351</v>
      </c>
      <c r="BY92" s="225" t="str">
        <f>IF($C92&gt;=Wirtschaftlichkeit!$N$8,Wirtschaftlichkeit!$N$8,IF(AND($C92&lt;=Wirtschaftlichkeit!$N$8,$C92&gt;=Wirtschaftlichkeit!$N$8*Eingabemaske!$B$18),$C92,"0"))</f>
        <v>0</v>
      </c>
      <c r="BZ92" s="222">
        <v>6351</v>
      </c>
      <c r="CA92" s="224">
        <f t="shared" si="86"/>
        <v>0</v>
      </c>
      <c r="CB92" s="222">
        <v>6351</v>
      </c>
      <c r="CC92" s="226" t="str">
        <f t="shared" si="131"/>
        <v xml:space="preserve"> </v>
      </c>
      <c r="CD92" s="312">
        <v>6351</v>
      </c>
      <c r="CE92" s="286">
        <f>BY92*Wirtschaftlichkeit!$N$5/Wirtschaftlichkeit!$N$7</f>
        <v>0</v>
      </c>
      <c r="CF92" s="284">
        <f t="shared" si="88"/>
        <v>0</v>
      </c>
      <c r="CH92" s="222">
        <v>6351</v>
      </c>
      <c r="CI92" s="225" t="str">
        <f>IF($C92&gt;=Wirtschaftlichkeit!$O$8,Wirtschaftlichkeit!$O$8,IF(AND($C92&lt;=Wirtschaftlichkeit!$O$8,$C92&gt;=Wirtschaftlichkeit!$O$8*Eingabemaske!$B$18),$C92,"0"))</f>
        <v>0</v>
      </c>
      <c r="CJ92" s="222">
        <v>6351</v>
      </c>
      <c r="CK92" s="224">
        <f t="shared" si="89"/>
        <v>0</v>
      </c>
      <c r="CL92" s="222">
        <v>6351</v>
      </c>
      <c r="CM92" s="226" t="str">
        <f t="shared" si="132"/>
        <v xml:space="preserve"> </v>
      </c>
      <c r="CN92" s="312">
        <v>6351</v>
      </c>
      <c r="CO92" s="286">
        <f>CI92*Wirtschaftlichkeit!$O$5/Wirtschaftlichkeit!$O$7</f>
        <v>0</v>
      </c>
      <c r="CP92" s="284">
        <f t="shared" si="91"/>
        <v>0</v>
      </c>
      <c r="CR92" s="222">
        <v>6351</v>
      </c>
      <c r="CS92" s="225" t="str">
        <f>IF($C92&gt;=Wirtschaftlichkeit!$P$8,Wirtschaftlichkeit!$P$8,IF(AND($C92&lt;=Wirtschaftlichkeit!$P$8,$C92&gt;=Wirtschaftlichkeit!$P$8*Eingabemaske!$B$18),$C92,"0"))</f>
        <v>0</v>
      </c>
      <c r="CT92" s="222">
        <v>6351</v>
      </c>
      <c r="CU92" s="224">
        <f t="shared" si="92"/>
        <v>0</v>
      </c>
      <c r="CV92" s="222">
        <v>6351</v>
      </c>
      <c r="CW92" s="226" t="str">
        <f t="shared" si="133"/>
        <v xml:space="preserve"> </v>
      </c>
      <c r="CX92" s="312">
        <v>6351</v>
      </c>
      <c r="CY92" s="286">
        <f>CS92*Wirtschaftlichkeit!$P$5/Wirtschaftlichkeit!$P$7</f>
        <v>0</v>
      </c>
      <c r="CZ92" s="284">
        <f t="shared" si="94"/>
        <v>0</v>
      </c>
      <c r="DB92" s="222">
        <v>6351</v>
      </c>
      <c r="DC92" s="225" t="str">
        <f>IF($C92&gt;=Wirtschaftlichkeit!$Q$8,Wirtschaftlichkeit!$Q$8,IF(AND($C92&lt;=Wirtschaftlichkeit!$Q$8,$C92&gt;=Wirtschaftlichkeit!$Q$8*Eingabemaske!$B$18),$C92,"0"))</f>
        <v>0</v>
      </c>
      <c r="DD92" s="222">
        <v>6351</v>
      </c>
      <c r="DE92" s="224">
        <f t="shared" si="95"/>
        <v>0</v>
      </c>
      <c r="DF92" s="222">
        <v>6351</v>
      </c>
      <c r="DG92" s="226" t="str">
        <f t="shared" si="134"/>
        <v xml:space="preserve"> </v>
      </c>
      <c r="DH92" s="312">
        <v>6351</v>
      </c>
      <c r="DI92" s="286">
        <f>DC92*Wirtschaftlichkeit!$Q$5/Wirtschaftlichkeit!$Q$7</f>
        <v>0</v>
      </c>
      <c r="DJ92" s="284">
        <f t="shared" si="97"/>
        <v>0</v>
      </c>
      <c r="DL92" s="222">
        <v>6351</v>
      </c>
      <c r="DM92" s="225" t="str">
        <f>IF($C92&gt;=Wirtschaftlichkeit!$R$8,Wirtschaftlichkeit!$R$8,IF(AND($C92&lt;=Wirtschaftlichkeit!$R$8,$C92&gt;=Wirtschaftlichkeit!$R$8*Eingabemaske!$B$18),$C92,"0"))</f>
        <v>0</v>
      </c>
      <c r="DN92" s="222">
        <v>6351</v>
      </c>
      <c r="DO92" s="224">
        <f t="shared" si="98"/>
        <v>0</v>
      </c>
      <c r="DP92" s="222">
        <v>6351</v>
      </c>
      <c r="DQ92" s="226" t="str">
        <f t="shared" si="135"/>
        <v xml:space="preserve"> </v>
      </c>
      <c r="DR92" s="312">
        <v>6351</v>
      </c>
      <c r="DS92" s="286">
        <f>DM92*Wirtschaftlichkeit!$R$5/Wirtschaftlichkeit!$R$7</f>
        <v>0</v>
      </c>
      <c r="DT92" s="284">
        <f t="shared" si="100"/>
        <v>0</v>
      </c>
      <c r="DV92" s="222">
        <v>6351</v>
      </c>
      <c r="DW92" s="225" t="str">
        <f>IF($C92&gt;=Wirtschaftlichkeit!$S$8,Wirtschaftlichkeit!$S$8,IF(AND($C92&lt;=Wirtschaftlichkeit!$S$8,$C92&gt;=Wirtschaftlichkeit!$S$8*Eingabemaske!$B$18),$C92,"0"))</f>
        <v>0</v>
      </c>
      <c r="DX92" s="222">
        <v>6351</v>
      </c>
      <c r="DY92" s="224">
        <f t="shared" si="101"/>
        <v>0</v>
      </c>
      <c r="DZ92" s="222">
        <v>6351</v>
      </c>
      <c r="EA92" s="226" t="str">
        <f t="shared" si="136"/>
        <v xml:space="preserve"> </v>
      </c>
      <c r="EB92" s="312">
        <v>6351</v>
      </c>
      <c r="EC92" s="286">
        <f>DW92*Wirtschaftlichkeit!$S$5/Wirtschaftlichkeit!$S$7</f>
        <v>0</v>
      </c>
      <c r="ED92" s="284">
        <f t="shared" si="103"/>
        <v>0</v>
      </c>
      <c r="EF92" s="222">
        <v>6351</v>
      </c>
      <c r="EG92" s="225" t="str">
        <f>IF($C92&gt;=Wirtschaftlichkeit!$T$8,Wirtschaftlichkeit!$T$8,IF(AND($C92&lt;=Wirtschaftlichkeit!$T$8,$C92&gt;=Wirtschaftlichkeit!$T$8*Eingabemaske!$B$18),$C92,"0"))</f>
        <v>0</v>
      </c>
      <c r="EH92" s="222">
        <v>6351</v>
      </c>
      <c r="EI92" s="224">
        <f t="shared" si="104"/>
        <v>0</v>
      </c>
      <c r="EJ92" s="222">
        <v>6351</v>
      </c>
      <c r="EK92" s="226" t="str">
        <f t="shared" si="137"/>
        <v xml:space="preserve"> </v>
      </c>
      <c r="EL92" s="312">
        <v>6351</v>
      </c>
      <c r="EM92" s="286">
        <f>EG92*Wirtschaftlichkeit!$T$5/Wirtschaftlichkeit!$T$7</f>
        <v>0</v>
      </c>
      <c r="EN92" s="284">
        <f t="shared" si="106"/>
        <v>0</v>
      </c>
      <c r="EP92" s="222">
        <v>6351</v>
      </c>
      <c r="EQ92" s="225" t="str">
        <f>IF($C92&gt;=Wirtschaftlichkeit!$U$8,Wirtschaftlichkeit!$U$8,IF(AND($C92&lt;=Wirtschaftlichkeit!$U$8,$C92&gt;=Wirtschaftlichkeit!$U$8*Eingabemaske!$B$18),$C92,"0"))</f>
        <v>0</v>
      </c>
      <c r="ER92" s="222">
        <v>6351</v>
      </c>
      <c r="ES92" s="224">
        <f t="shared" si="107"/>
        <v>0</v>
      </c>
      <c r="ET92" s="222">
        <v>6351</v>
      </c>
      <c r="EU92" s="226" t="str">
        <f t="shared" si="138"/>
        <v xml:space="preserve"> </v>
      </c>
      <c r="EV92" s="312">
        <v>6351</v>
      </c>
      <c r="EW92" s="286">
        <f>EQ92*Wirtschaftlichkeit!$U$5/Wirtschaftlichkeit!$U$7</f>
        <v>0</v>
      </c>
      <c r="EX92" s="284">
        <f t="shared" si="109"/>
        <v>0</v>
      </c>
      <c r="EZ92" s="222">
        <v>6351</v>
      </c>
      <c r="FA92" s="225" t="str">
        <f>IF($C92&gt;=Wirtschaftlichkeit!$V$8,Wirtschaftlichkeit!$V$8,IF(AND($C92&lt;=Wirtschaftlichkeit!$V$8,$C92&gt;=Wirtschaftlichkeit!$V$8*Eingabemaske!$B$18),$C92,"0"))</f>
        <v>0</v>
      </c>
      <c r="FB92" s="222">
        <v>6351</v>
      </c>
      <c r="FC92" s="224">
        <f t="shared" si="110"/>
        <v>0</v>
      </c>
      <c r="FD92" s="222">
        <v>6351</v>
      </c>
      <c r="FE92" s="226" t="str">
        <f t="shared" si="139"/>
        <v xml:space="preserve"> </v>
      </c>
      <c r="FF92" s="312">
        <v>6351</v>
      </c>
      <c r="FG92" s="286">
        <f>FA92*Wirtschaftlichkeit!$V$5/Wirtschaftlichkeit!$V$7</f>
        <v>0</v>
      </c>
      <c r="FH92" s="284">
        <f t="shared" si="112"/>
        <v>0</v>
      </c>
      <c r="FJ92" s="222">
        <v>6351</v>
      </c>
      <c r="FK92" s="225" t="str">
        <f>IF($C92&gt;=Wirtschaftlichkeit!$W$8,Wirtschaftlichkeit!$W$8,IF(AND($C92&lt;=Wirtschaftlichkeit!$W$8,$C92&gt;=Wirtschaftlichkeit!$W$8*Eingabemaske!$B$18),$C92,"0"))</f>
        <v>0</v>
      </c>
      <c r="FL92" s="222">
        <v>6351</v>
      </c>
      <c r="FM92" s="224">
        <f t="shared" si="113"/>
        <v>0</v>
      </c>
      <c r="FN92" s="222">
        <v>6351</v>
      </c>
      <c r="FO92" s="226" t="str">
        <f t="shared" si="140"/>
        <v xml:space="preserve"> </v>
      </c>
      <c r="FP92" s="312">
        <v>6351</v>
      </c>
      <c r="FQ92" s="286">
        <f>FK92*Wirtschaftlichkeit!$W$5/Wirtschaftlichkeit!$W$7</f>
        <v>0</v>
      </c>
      <c r="FR92" s="284">
        <f t="shared" si="115"/>
        <v>0</v>
      </c>
      <c r="FT92" s="222">
        <v>6351</v>
      </c>
      <c r="FU92" s="225" t="str">
        <f>IF($C92&gt;=Wirtschaftlichkeit!$X$8,Wirtschaftlichkeit!$X$8,IF(AND($C92&lt;=Wirtschaftlichkeit!$X$8,$C92&gt;=Wirtschaftlichkeit!$X$8*Eingabemaske!$B$18),$C92,"0"))</f>
        <v>0</v>
      </c>
      <c r="FV92" s="222">
        <v>6351</v>
      </c>
      <c r="FW92" s="224">
        <f t="shared" si="116"/>
        <v>0</v>
      </c>
      <c r="FX92" s="222">
        <v>6351</v>
      </c>
      <c r="FY92" s="226" t="str">
        <f t="shared" si="141"/>
        <v xml:space="preserve"> </v>
      </c>
      <c r="FZ92" s="312">
        <v>6351</v>
      </c>
      <c r="GA92" s="286">
        <f>FU92*Wirtschaftlichkeit!$X$5/Wirtschaftlichkeit!$X$7</f>
        <v>0</v>
      </c>
      <c r="GB92" s="284">
        <f t="shared" si="118"/>
        <v>0</v>
      </c>
      <c r="GD92" s="222">
        <v>6351</v>
      </c>
      <c r="GE92" s="225" t="str">
        <f>IF($C92&gt;=Wirtschaftlichkeit!$Y$8,Wirtschaftlichkeit!$Y$8,IF(AND($C92&lt;=Wirtschaftlichkeit!$Y$8,$C92&gt;=Wirtschaftlichkeit!$Y$8*Eingabemaske!$B$18),$C92,"0"))</f>
        <v>0</v>
      </c>
      <c r="GF92" s="222">
        <v>6351</v>
      </c>
      <c r="GG92" s="224">
        <f t="shared" si="119"/>
        <v>0</v>
      </c>
      <c r="GH92" s="222">
        <v>6351</v>
      </c>
      <c r="GI92" s="226" t="str">
        <f t="shared" si="142"/>
        <v xml:space="preserve"> </v>
      </c>
      <c r="GJ92" s="312">
        <v>6351</v>
      </c>
      <c r="GK92" s="286">
        <f>GE92*Wirtschaftlichkeit!$Y$5/Wirtschaftlichkeit!$Y$7</f>
        <v>0</v>
      </c>
      <c r="GL92" s="284">
        <f t="shared" si="121"/>
        <v>0</v>
      </c>
      <c r="GN92" s="222">
        <v>6351</v>
      </c>
      <c r="GO92" s="225" t="str">
        <f>IF($C92&gt;=Wirtschaftlichkeit!$Z$8,Wirtschaftlichkeit!$Z$8,IF(AND($C92&lt;=Wirtschaftlichkeit!$Z$8,$C92&gt;=Wirtschaftlichkeit!$Z$8*Eingabemaske!$B$18),$C92,"0"))</f>
        <v>0</v>
      </c>
      <c r="GP92" s="222">
        <v>6351</v>
      </c>
      <c r="GQ92" s="224">
        <f t="shared" si="122"/>
        <v>0</v>
      </c>
      <c r="GR92" s="222">
        <v>6351</v>
      </c>
      <c r="GS92" s="226" t="str">
        <f t="shared" si="143"/>
        <v xml:space="preserve"> </v>
      </c>
      <c r="GT92" s="312">
        <v>6351</v>
      </c>
      <c r="GU92" s="286">
        <f>GO92*Wirtschaftlichkeit!$Z$5/Wirtschaftlichkeit!$Z$7</f>
        <v>0</v>
      </c>
      <c r="GV92" s="284">
        <f t="shared" si="124"/>
        <v>0</v>
      </c>
      <c r="GW92" s="266"/>
      <c r="GX92" s="258">
        <v>6351</v>
      </c>
      <c r="GY92" s="270" t="str">
        <f>IF(Berechnung_Diagramme!$C$28=Berechnungen_Lastgang!$F$2,Berechnungen_Lastgang!G92,IF(Berechnung_Diagramme!$C$28=Berechnungen_Lastgang!$P$2,Berechnungen_Lastgang!Q92,IF(Berechnung_Diagramme!$C$28=Berechnungen_Lastgang!$Z$2,Berechnungen_Lastgang!AA92,IF(Berechnung_Diagramme!$C$28=Berechnungen_Lastgang!$AJ$2,Berechnungen_Lastgang!AK92,IF(Berechnung_Diagramme!$C$28=Berechnungen_Lastgang!$AT$2,Berechnungen_Lastgang!AU92,IF(Berechnung_Diagramme!$C$28=Berechnungen_Lastgang!$BD$2,Berechnungen_Lastgang!BE92,IF(Berechnung_Diagramme!$C$28=Berechnungen_Lastgang!$BN$2,Berechnungen_Lastgang!BO92,IF(Berechnung_Diagramme!$C$28=Berechnungen_Lastgang!$BX$2,Berechnungen_Lastgang!BY92,IF(Berechnung_Diagramme!$C$28=Berechnungen_Lastgang!$CH$2,Berechnungen_Lastgang!CI92,IF(Berechnung_Diagramme!$C$28=Berechnungen_Lastgang!$CR$2,Berechnungen_Lastgang!CS92,IF(Berechnung_Diagramme!$C$28=Berechnungen_Lastgang!$DB$2,Berechnungen_Lastgang!DC92,IF(Berechnung_Diagramme!$C$28=Berechnungen_Lastgang!$DL$2,Berechnungen_Lastgang!DM92,IF(Berechnung_Diagramme!$C$28=Berechnungen_Lastgang!$DV$2,Berechnungen_Lastgang!DW92,IF(Berechnung_Diagramme!$C$28=Berechnungen_Lastgang!$EF$2,Berechnungen_Lastgang!EG92,IF(Berechnung_Diagramme!$C$28=Berechnungen_Lastgang!$EP$2,Berechnungen_Lastgang!EQ92,IF(Berechnung_Diagramme!$C$28=Berechnungen_Lastgang!$EZ$2,Berechnungen_Lastgang!FA92,IF(Berechnung_Diagramme!$C$28=Berechnungen_Lastgang!$FJ$2,Berechnungen_Lastgang!FK92,IF(Berechnung_Diagramme!$C$28=Berechnungen_Lastgang!$FT$2,Berechnungen_Lastgang!FU92,IF(Berechnung_Diagramme!$C$28=Berechnungen_Lastgang!$GD$2,Berechnungen_Lastgang!GE92,IF(Berechnung_Diagramme!$C$28=Berechnungen_Lastgang!$GN$2,Berechnungen_Lastgang!GO92,""))))))))))))))))))))</f>
        <v>0</v>
      </c>
    </row>
    <row r="93" spans="2:207" x14ac:dyDescent="0.25">
      <c r="B93" s="64">
        <v>6424</v>
      </c>
      <c r="C93" s="67">
        <f>C92+((C95-C92)/(B95-B92))*(B93-B92)</f>
        <v>4.6864799999999995</v>
      </c>
      <c r="D93" s="66">
        <f t="shared" si="64"/>
        <v>331.76200499999993</v>
      </c>
      <c r="F93" s="64">
        <v>6424</v>
      </c>
      <c r="G93" s="225">
        <f>IF($C93&gt;=Wirtschaftlichkeit!$G$8,Wirtschaftlichkeit!$G$8,IF(AND($C93&lt;=Wirtschaftlichkeit!$G$8,$C93&gt;=Wirtschaftlichkeit!$G$8*Eingabemaske!$B$18),$C93,"0"))</f>
        <v>2.8333333333333335</v>
      </c>
      <c r="H93" s="64">
        <v>6424</v>
      </c>
      <c r="I93" s="66">
        <f t="shared" si="65"/>
        <v>206.83333333333334</v>
      </c>
      <c r="J93" s="64">
        <v>6424</v>
      </c>
      <c r="K93" s="71">
        <f t="shared" si="66"/>
        <v>2.8333333333333335</v>
      </c>
      <c r="L93" s="312">
        <v>6424</v>
      </c>
      <c r="M93" s="286">
        <f>G93*Wirtschaftlichkeit!$G$5/Wirtschaftlichkeit!$G$7</f>
        <v>1</v>
      </c>
      <c r="N93" s="284">
        <f t="shared" si="67"/>
        <v>73</v>
      </c>
      <c r="P93" s="222">
        <v>6424</v>
      </c>
      <c r="Q93" s="225">
        <f>IF($C93&gt;=Wirtschaftlichkeit!$H$8,Wirtschaftlichkeit!$H$8,IF(AND($C93&lt;=Wirtschaftlichkeit!$H$8,$C93&gt;=Wirtschaftlichkeit!$H$8*Eingabemaske!$B$18),$C93,"0"))</f>
        <v>4.6864799999999995</v>
      </c>
      <c r="R93" s="222">
        <v>6424</v>
      </c>
      <c r="S93" s="224">
        <f t="shared" si="68"/>
        <v>331.76200499999993</v>
      </c>
      <c r="T93" s="222">
        <v>6424</v>
      </c>
      <c r="U93" s="226">
        <f t="shared" si="125"/>
        <v>4.6864799999999995</v>
      </c>
      <c r="V93" s="312">
        <v>6424</v>
      </c>
      <c r="W93" s="286">
        <f>Q93*Wirtschaftlichkeit!$H$5/Wirtschaftlichkeit!$H$7</f>
        <v>1.6774485608856087</v>
      </c>
      <c r="X93" s="284">
        <f t="shared" si="70"/>
        <v>118.74876193726934</v>
      </c>
      <c r="Z93" s="222">
        <v>6424</v>
      </c>
      <c r="AA93" s="225">
        <f>IF($C93&gt;=Wirtschaftlichkeit!$I$8,Wirtschaftlichkeit!$I$8,IF(AND($C93&lt;=Wirtschaftlichkeit!$I$8,$C93&gt;=Wirtschaftlichkeit!$I$8*Eingabemaske!$B$18),$C93,"0"))</f>
        <v>4.6864799999999995</v>
      </c>
      <c r="AB93" s="222">
        <v>6424</v>
      </c>
      <c r="AC93" s="224">
        <f t="shared" si="71"/>
        <v>331.76200499999993</v>
      </c>
      <c r="AD93" s="222">
        <v>6424</v>
      </c>
      <c r="AE93" s="226">
        <f t="shared" si="126"/>
        <v>4.6864799999999995</v>
      </c>
      <c r="AF93" s="312">
        <v>6424</v>
      </c>
      <c r="AG93" s="286">
        <f>AA93*Wirtschaftlichkeit!$I$5/Wirtschaftlichkeit!$I$7</f>
        <v>1.7047605047079741</v>
      </c>
      <c r="AH93" s="284">
        <f t="shared" si="73"/>
        <v>120.68220990737812</v>
      </c>
      <c r="AJ93" s="222">
        <v>6424</v>
      </c>
      <c r="AK93" s="225" t="str">
        <f>IF($C93&gt;=Wirtschaftlichkeit!$J$8,Wirtschaftlichkeit!$J$8,IF(AND($C93&lt;=Wirtschaftlichkeit!$J$8,$C93&gt;=Wirtschaftlichkeit!$J$8*Eingabemaske!$B$18),$C93,"0"))</f>
        <v>0</v>
      </c>
      <c r="AL93" s="222">
        <v>6424</v>
      </c>
      <c r="AM93" s="224">
        <f t="shared" si="74"/>
        <v>0</v>
      </c>
      <c r="AN93" s="222">
        <v>6424</v>
      </c>
      <c r="AO93" s="226" t="str">
        <f t="shared" si="127"/>
        <v xml:space="preserve"> </v>
      </c>
      <c r="AP93" s="312">
        <v>6424</v>
      </c>
      <c r="AQ93" s="286">
        <f>AK93*Wirtschaftlichkeit!$J$5/Wirtschaftlichkeit!$J$7</f>
        <v>0</v>
      </c>
      <c r="AR93" s="284">
        <f t="shared" si="76"/>
        <v>0</v>
      </c>
      <c r="AT93" s="222">
        <v>6424</v>
      </c>
      <c r="AU93" s="225" t="str">
        <f>IF($C93&gt;=Wirtschaftlichkeit!$K$8,Wirtschaftlichkeit!$K$8,IF(AND($C93&lt;=Wirtschaftlichkeit!$K$8,$C93&gt;=Wirtschaftlichkeit!$K$8*Eingabemaske!$B$18),$C93,"0"))</f>
        <v>0</v>
      </c>
      <c r="AV93" s="222">
        <v>6424</v>
      </c>
      <c r="AW93" s="224">
        <f t="shared" si="77"/>
        <v>0</v>
      </c>
      <c r="AX93" s="222">
        <v>6424</v>
      </c>
      <c r="AY93" s="226" t="str">
        <f t="shared" si="128"/>
        <v xml:space="preserve"> </v>
      </c>
      <c r="AZ93" s="312">
        <v>6424</v>
      </c>
      <c r="BA93" s="286">
        <f>AU93*Wirtschaftlichkeit!$K$5/Wirtschaftlichkeit!$K$7</f>
        <v>0</v>
      </c>
      <c r="BB93" s="284">
        <f t="shared" si="79"/>
        <v>0</v>
      </c>
      <c r="BD93" s="222">
        <v>6424</v>
      </c>
      <c r="BE93" s="225" t="str">
        <f>IF($C93&gt;=Wirtschaftlichkeit!$L$8,Wirtschaftlichkeit!$L$8,IF(AND($C93&lt;=Wirtschaftlichkeit!$L$8,$C93&gt;=Wirtschaftlichkeit!$L$8*Eingabemaske!$B$18),$C93,"0"))</f>
        <v>0</v>
      </c>
      <c r="BF93" s="222">
        <v>6424</v>
      </c>
      <c r="BG93" s="224">
        <f t="shared" si="80"/>
        <v>0</v>
      </c>
      <c r="BH93" s="222">
        <v>6424</v>
      </c>
      <c r="BI93" s="226" t="str">
        <f t="shared" si="129"/>
        <v xml:space="preserve"> </v>
      </c>
      <c r="BJ93" s="312">
        <v>6424</v>
      </c>
      <c r="BK93" s="286">
        <f>BE93*Wirtschaftlichkeit!$L$5/Wirtschaftlichkeit!$L$7</f>
        <v>0</v>
      </c>
      <c r="BL93" s="284">
        <f t="shared" si="82"/>
        <v>0</v>
      </c>
      <c r="BN93" s="222">
        <v>6424</v>
      </c>
      <c r="BO93" s="225" t="str">
        <f>IF($C93&gt;=Wirtschaftlichkeit!$M$8,Wirtschaftlichkeit!$M$8,IF(AND($C93&lt;=Wirtschaftlichkeit!$M$8,$C93&gt;=Wirtschaftlichkeit!$M$8*Eingabemaske!$B$18),$C93,"0"))</f>
        <v>0</v>
      </c>
      <c r="BP93" s="222">
        <v>6424</v>
      </c>
      <c r="BQ93" s="224">
        <f t="shared" si="83"/>
        <v>0</v>
      </c>
      <c r="BR93" s="222">
        <v>6424</v>
      </c>
      <c r="BS93" s="226" t="str">
        <f t="shared" si="130"/>
        <v xml:space="preserve"> </v>
      </c>
      <c r="BT93" s="312">
        <v>6424</v>
      </c>
      <c r="BU93" s="286">
        <f>BO93*Wirtschaftlichkeit!$M$5/Wirtschaftlichkeit!$M$7</f>
        <v>0</v>
      </c>
      <c r="BV93" s="284">
        <f t="shared" si="85"/>
        <v>0</v>
      </c>
      <c r="BX93" s="222">
        <v>6424</v>
      </c>
      <c r="BY93" s="225" t="str">
        <f>IF($C93&gt;=Wirtschaftlichkeit!$N$8,Wirtschaftlichkeit!$N$8,IF(AND($C93&lt;=Wirtschaftlichkeit!$N$8,$C93&gt;=Wirtschaftlichkeit!$N$8*Eingabemaske!$B$18),$C93,"0"))</f>
        <v>0</v>
      </c>
      <c r="BZ93" s="222">
        <v>6424</v>
      </c>
      <c r="CA93" s="224">
        <f t="shared" si="86"/>
        <v>0</v>
      </c>
      <c r="CB93" s="222">
        <v>6424</v>
      </c>
      <c r="CC93" s="226" t="str">
        <f t="shared" si="131"/>
        <v xml:space="preserve"> </v>
      </c>
      <c r="CD93" s="312">
        <v>6424</v>
      </c>
      <c r="CE93" s="286">
        <f>BY93*Wirtschaftlichkeit!$N$5/Wirtschaftlichkeit!$N$7</f>
        <v>0</v>
      </c>
      <c r="CF93" s="284">
        <f t="shared" si="88"/>
        <v>0</v>
      </c>
      <c r="CH93" s="222">
        <v>6424</v>
      </c>
      <c r="CI93" s="225" t="str">
        <f>IF($C93&gt;=Wirtschaftlichkeit!$O$8,Wirtschaftlichkeit!$O$8,IF(AND($C93&lt;=Wirtschaftlichkeit!$O$8,$C93&gt;=Wirtschaftlichkeit!$O$8*Eingabemaske!$B$18),$C93,"0"))</f>
        <v>0</v>
      </c>
      <c r="CJ93" s="222">
        <v>6424</v>
      </c>
      <c r="CK93" s="224">
        <f t="shared" si="89"/>
        <v>0</v>
      </c>
      <c r="CL93" s="222">
        <v>6424</v>
      </c>
      <c r="CM93" s="226" t="str">
        <f t="shared" si="132"/>
        <v xml:space="preserve"> </v>
      </c>
      <c r="CN93" s="312">
        <v>6424</v>
      </c>
      <c r="CO93" s="286">
        <f>CI93*Wirtschaftlichkeit!$O$5/Wirtschaftlichkeit!$O$7</f>
        <v>0</v>
      </c>
      <c r="CP93" s="284">
        <f t="shared" si="91"/>
        <v>0</v>
      </c>
      <c r="CR93" s="222">
        <v>6424</v>
      </c>
      <c r="CS93" s="225" t="str">
        <f>IF($C93&gt;=Wirtschaftlichkeit!$P$8,Wirtschaftlichkeit!$P$8,IF(AND($C93&lt;=Wirtschaftlichkeit!$P$8,$C93&gt;=Wirtschaftlichkeit!$P$8*Eingabemaske!$B$18),$C93,"0"))</f>
        <v>0</v>
      </c>
      <c r="CT93" s="222">
        <v>6424</v>
      </c>
      <c r="CU93" s="224">
        <f t="shared" si="92"/>
        <v>0</v>
      </c>
      <c r="CV93" s="222">
        <v>6424</v>
      </c>
      <c r="CW93" s="226" t="str">
        <f t="shared" si="133"/>
        <v xml:space="preserve"> </v>
      </c>
      <c r="CX93" s="312">
        <v>6424</v>
      </c>
      <c r="CY93" s="286">
        <f>CS93*Wirtschaftlichkeit!$P$5/Wirtschaftlichkeit!$P$7</f>
        <v>0</v>
      </c>
      <c r="CZ93" s="284">
        <f t="shared" si="94"/>
        <v>0</v>
      </c>
      <c r="DB93" s="222">
        <v>6424</v>
      </c>
      <c r="DC93" s="225" t="str">
        <f>IF($C93&gt;=Wirtschaftlichkeit!$Q$8,Wirtschaftlichkeit!$Q$8,IF(AND($C93&lt;=Wirtschaftlichkeit!$Q$8,$C93&gt;=Wirtschaftlichkeit!$Q$8*Eingabemaske!$B$18),$C93,"0"))</f>
        <v>0</v>
      </c>
      <c r="DD93" s="222">
        <v>6424</v>
      </c>
      <c r="DE93" s="224">
        <f t="shared" si="95"/>
        <v>0</v>
      </c>
      <c r="DF93" s="222">
        <v>6424</v>
      </c>
      <c r="DG93" s="226" t="str">
        <f t="shared" si="134"/>
        <v xml:space="preserve"> </v>
      </c>
      <c r="DH93" s="312">
        <v>6424</v>
      </c>
      <c r="DI93" s="286">
        <f>DC93*Wirtschaftlichkeit!$Q$5/Wirtschaftlichkeit!$Q$7</f>
        <v>0</v>
      </c>
      <c r="DJ93" s="284">
        <f t="shared" si="97"/>
        <v>0</v>
      </c>
      <c r="DL93" s="222">
        <v>6424</v>
      </c>
      <c r="DM93" s="225" t="str">
        <f>IF($C93&gt;=Wirtschaftlichkeit!$R$8,Wirtschaftlichkeit!$R$8,IF(AND($C93&lt;=Wirtschaftlichkeit!$R$8,$C93&gt;=Wirtschaftlichkeit!$R$8*Eingabemaske!$B$18),$C93,"0"))</f>
        <v>0</v>
      </c>
      <c r="DN93" s="222">
        <v>6424</v>
      </c>
      <c r="DO93" s="224">
        <f t="shared" si="98"/>
        <v>0</v>
      </c>
      <c r="DP93" s="222">
        <v>6424</v>
      </c>
      <c r="DQ93" s="226" t="str">
        <f t="shared" si="135"/>
        <v xml:space="preserve"> </v>
      </c>
      <c r="DR93" s="312">
        <v>6424</v>
      </c>
      <c r="DS93" s="286">
        <f>DM93*Wirtschaftlichkeit!$R$5/Wirtschaftlichkeit!$R$7</f>
        <v>0</v>
      </c>
      <c r="DT93" s="284">
        <f t="shared" si="100"/>
        <v>0</v>
      </c>
      <c r="DV93" s="222">
        <v>6424</v>
      </c>
      <c r="DW93" s="225" t="str">
        <f>IF($C93&gt;=Wirtschaftlichkeit!$S$8,Wirtschaftlichkeit!$S$8,IF(AND($C93&lt;=Wirtschaftlichkeit!$S$8,$C93&gt;=Wirtschaftlichkeit!$S$8*Eingabemaske!$B$18),$C93,"0"))</f>
        <v>0</v>
      </c>
      <c r="DX93" s="222">
        <v>6424</v>
      </c>
      <c r="DY93" s="224">
        <f t="shared" si="101"/>
        <v>0</v>
      </c>
      <c r="DZ93" s="222">
        <v>6424</v>
      </c>
      <c r="EA93" s="226" t="str">
        <f t="shared" si="136"/>
        <v xml:space="preserve"> </v>
      </c>
      <c r="EB93" s="312">
        <v>6424</v>
      </c>
      <c r="EC93" s="286">
        <f>DW93*Wirtschaftlichkeit!$S$5/Wirtschaftlichkeit!$S$7</f>
        <v>0</v>
      </c>
      <c r="ED93" s="284">
        <f t="shared" si="103"/>
        <v>0</v>
      </c>
      <c r="EF93" s="222">
        <v>6424</v>
      </c>
      <c r="EG93" s="225" t="str">
        <f>IF($C93&gt;=Wirtschaftlichkeit!$T$8,Wirtschaftlichkeit!$T$8,IF(AND($C93&lt;=Wirtschaftlichkeit!$T$8,$C93&gt;=Wirtschaftlichkeit!$T$8*Eingabemaske!$B$18),$C93,"0"))</f>
        <v>0</v>
      </c>
      <c r="EH93" s="222">
        <v>6424</v>
      </c>
      <c r="EI93" s="224">
        <f t="shared" si="104"/>
        <v>0</v>
      </c>
      <c r="EJ93" s="222">
        <v>6424</v>
      </c>
      <c r="EK93" s="226" t="str">
        <f t="shared" si="137"/>
        <v xml:space="preserve"> </v>
      </c>
      <c r="EL93" s="312">
        <v>6424</v>
      </c>
      <c r="EM93" s="286">
        <f>EG93*Wirtschaftlichkeit!$T$5/Wirtschaftlichkeit!$T$7</f>
        <v>0</v>
      </c>
      <c r="EN93" s="284">
        <f t="shared" si="106"/>
        <v>0</v>
      </c>
      <c r="EP93" s="222">
        <v>6424</v>
      </c>
      <c r="EQ93" s="225" t="str">
        <f>IF($C93&gt;=Wirtschaftlichkeit!$U$8,Wirtschaftlichkeit!$U$8,IF(AND($C93&lt;=Wirtschaftlichkeit!$U$8,$C93&gt;=Wirtschaftlichkeit!$U$8*Eingabemaske!$B$18),$C93,"0"))</f>
        <v>0</v>
      </c>
      <c r="ER93" s="222">
        <v>6424</v>
      </c>
      <c r="ES93" s="224">
        <f t="shared" si="107"/>
        <v>0</v>
      </c>
      <c r="ET93" s="222">
        <v>6424</v>
      </c>
      <c r="EU93" s="226" t="str">
        <f t="shared" si="138"/>
        <v xml:space="preserve"> </v>
      </c>
      <c r="EV93" s="312">
        <v>6424</v>
      </c>
      <c r="EW93" s="286">
        <f>EQ93*Wirtschaftlichkeit!$U$5/Wirtschaftlichkeit!$U$7</f>
        <v>0</v>
      </c>
      <c r="EX93" s="284">
        <f t="shared" si="109"/>
        <v>0</v>
      </c>
      <c r="EZ93" s="222">
        <v>6424</v>
      </c>
      <c r="FA93" s="225" t="str">
        <f>IF($C93&gt;=Wirtschaftlichkeit!$V$8,Wirtschaftlichkeit!$V$8,IF(AND($C93&lt;=Wirtschaftlichkeit!$V$8,$C93&gt;=Wirtschaftlichkeit!$V$8*Eingabemaske!$B$18),$C93,"0"))</f>
        <v>0</v>
      </c>
      <c r="FB93" s="222">
        <v>6424</v>
      </c>
      <c r="FC93" s="224">
        <f t="shared" si="110"/>
        <v>0</v>
      </c>
      <c r="FD93" s="222">
        <v>6424</v>
      </c>
      <c r="FE93" s="226" t="str">
        <f t="shared" si="139"/>
        <v xml:space="preserve"> </v>
      </c>
      <c r="FF93" s="312">
        <v>6424</v>
      </c>
      <c r="FG93" s="286">
        <f>FA93*Wirtschaftlichkeit!$V$5/Wirtschaftlichkeit!$V$7</f>
        <v>0</v>
      </c>
      <c r="FH93" s="284">
        <f t="shared" si="112"/>
        <v>0</v>
      </c>
      <c r="FJ93" s="222">
        <v>6424</v>
      </c>
      <c r="FK93" s="225" t="str">
        <f>IF($C93&gt;=Wirtschaftlichkeit!$W$8,Wirtschaftlichkeit!$W$8,IF(AND($C93&lt;=Wirtschaftlichkeit!$W$8,$C93&gt;=Wirtschaftlichkeit!$W$8*Eingabemaske!$B$18),$C93,"0"))</f>
        <v>0</v>
      </c>
      <c r="FL93" s="222">
        <v>6424</v>
      </c>
      <c r="FM93" s="224">
        <f t="shared" si="113"/>
        <v>0</v>
      </c>
      <c r="FN93" s="222">
        <v>6424</v>
      </c>
      <c r="FO93" s="226" t="str">
        <f t="shared" si="140"/>
        <v xml:space="preserve"> </v>
      </c>
      <c r="FP93" s="312">
        <v>6424</v>
      </c>
      <c r="FQ93" s="286">
        <f>FK93*Wirtschaftlichkeit!$W$5/Wirtschaftlichkeit!$W$7</f>
        <v>0</v>
      </c>
      <c r="FR93" s="284">
        <f t="shared" si="115"/>
        <v>0</v>
      </c>
      <c r="FT93" s="222">
        <v>6424</v>
      </c>
      <c r="FU93" s="225" t="str">
        <f>IF($C93&gt;=Wirtschaftlichkeit!$X$8,Wirtschaftlichkeit!$X$8,IF(AND($C93&lt;=Wirtschaftlichkeit!$X$8,$C93&gt;=Wirtschaftlichkeit!$X$8*Eingabemaske!$B$18),$C93,"0"))</f>
        <v>0</v>
      </c>
      <c r="FV93" s="222">
        <v>6424</v>
      </c>
      <c r="FW93" s="224">
        <f t="shared" si="116"/>
        <v>0</v>
      </c>
      <c r="FX93" s="222">
        <v>6424</v>
      </c>
      <c r="FY93" s="226" t="str">
        <f t="shared" si="141"/>
        <v xml:space="preserve"> </v>
      </c>
      <c r="FZ93" s="312">
        <v>6424</v>
      </c>
      <c r="GA93" s="286">
        <f>FU93*Wirtschaftlichkeit!$X$5/Wirtschaftlichkeit!$X$7</f>
        <v>0</v>
      </c>
      <c r="GB93" s="284">
        <f t="shared" si="118"/>
        <v>0</v>
      </c>
      <c r="GD93" s="222">
        <v>6424</v>
      </c>
      <c r="GE93" s="225" t="str">
        <f>IF($C93&gt;=Wirtschaftlichkeit!$Y$8,Wirtschaftlichkeit!$Y$8,IF(AND($C93&lt;=Wirtschaftlichkeit!$Y$8,$C93&gt;=Wirtschaftlichkeit!$Y$8*Eingabemaske!$B$18),$C93,"0"))</f>
        <v>0</v>
      </c>
      <c r="GF93" s="222">
        <v>6424</v>
      </c>
      <c r="GG93" s="224">
        <f t="shared" si="119"/>
        <v>0</v>
      </c>
      <c r="GH93" s="222">
        <v>6424</v>
      </c>
      <c r="GI93" s="226" t="str">
        <f t="shared" si="142"/>
        <v xml:space="preserve"> </v>
      </c>
      <c r="GJ93" s="312">
        <v>6424</v>
      </c>
      <c r="GK93" s="286">
        <f>GE93*Wirtschaftlichkeit!$Y$5/Wirtschaftlichkeit!$Y$7</f>
        <v>0</v>
      </c>
      <c r="GL93" s="284">
        <f t="shared" si="121"/>
        <v>0</v>
      </c>
      <c r="GN93" s="222">
        <v>6424</v>
      </c>
      <c r="GO93" s="225" t="str">
        <f>IF($C93&gt;=Wirtschaftlichkeit!$Z$8,Wirtschaftlichkeit!$Z$8,IF(AND($C93&lt;=Wirtschaftlichkeit!$Z$8,$C93&gt;=Wirtschaftlichkeit!$Z$8*Eingabemaske!$B$18),$C93,"0"))</f>
        <v>0</v>
      </c>
      <c r="GP93" s="222">
        <v>6424</v>
      </c>
      <c r="GQ93" s="224">
        <f t="shared" si="122"/>
        <v>0</v>
      </c>
      <c r="GR93" s="222">
        <v>6424</v>
      </c>
      <c r="GS93" s="226" t="str">
        <f t="shared" si="143"/>
        <v xml:space="preserve"> </v>
      </c>
      <c r="GT93" s="312">
        <v>6424</v>
      </c>
      <c r="GU93" s="286">
        <f>GO93*Wirtschaftlichkeit!$Z$5/Wirtschaftlichkeit!$Z$7</f>
        <v>0</v>
      </c>
      <c r="GV93" s="284">
        <f t="shared" si="124"/>
        <v>0</v>
      </c>
      <c r="GW93" s="266"/>
      <c r="GX93" s="258">
        <v>6424</v>
      </c>
      <c r="GY93" s="270" t="str">
        <f>IF(Berechnung_Diagramme!$C$28=Berechnungen_Lastgang!$F$2,Berechnungen_Lastgang!G93,IF(Berechnung_Diagramme!$C$28=Berechnungen_Lastgang!$P$2,Berechnungen_Lastgang!Q93,IF(Berechnung_Diagramme!$C$28=Berechnungen_Lastgang!$Z$2,Berechnungen_Lastgang!AA93,IF(Berechnung_Diagramme!$C$28=Berechnungen_Lastgang!$AJ$2,Berechnungen_Lastgang!AK93,IF(Berechnung_Diagramme!$C$28=Berechnungen_Lastgang!$AT$2,Berechnungen_Lastgang!AU93,IF(Berechnung_Diagramme!$C$28=Berechnungen_Lastgang!$BD$2,Berechnungen_Lastgang!BE93,IF(Berechnung_Diagramme!$C$28=Berechnungen_Lastgang!$BN$2,Berechnungen_Lastgang!BO93,IF(Berechnung_Diagramme!$C$28=Berechnungen_Lastgang!$BX$2,Berechnungen_Lastgang!BY93,IF(Berechnung_Diagramme!$C$28=Berechnungen_Lastgang!$CH$2,Berechnungen_Lastgang!CI93,IF(Berechnung_Diagramme!$C$28=Berechnungen_Lastgang!$CR$2,Berechnungen_Lastgang!CS93,IF(Berechnung_Diagramme!$C$28=Berechnungen_Lastgang!$DB$2,Berechnungen_Lastgang!DC93,IF(Berechnung_Diagramme!$C$28=Berechnungen_Lastgang!$DL$2,Berechnungen_Lastgang!DM93,IF(Berechnung_Diagramme!$C$28=Berechnungen_Lastgang!$DV$2,Berechnungen_Lastgang!DW93,IF(Berechnung_Diagramme!$C$28=Berechnungen_Lastgang!$EF$2,Berechnungen_Lastgang!EG93,IF(Berechnung_Diagramme!$C$28=Berechnungen_Lastgang!$EP$2,Berechnungen_Lastgang!EQ93,IF(Berechnung_Diagramme!$C$28=Berechnungen_Lastgang!$EZ$2,Berechnungen_Lastgang!FA93,IF(Berechnung_Diagramme!$C$28=Berechnungen_Lastgang!$FJ$2,Berechnungen_Lastgang!FK93,IF(Berechnung_Diagramme!$C$28=Berechnungen_Lastgang!$FT$2,Berechnungen_Lastgang!FU93,IF(Berechnung_Diagramme!$C$28=Berechnungen_Lastgang!$GD$2,Berechnungen_Lastgang!GE93,IF(Berechnung_Diagramme!$C$28=Berechnungen_Lastgang!$GN$2,Berechnungen_Lastgang!GO93,""))))))))))))))))))))</f>
        <v>0</v>
      </c>
    </row>
    <row r="94" spans="2:207" x14ac:dyDescent="0.25">
      <c r="B94" s="64">
        <v>6497</v>
      </c>
      <c r="C94" s="67">
        <f>C93+((C95-C93)/(B95-B93))*(B94-B93)</f>
        <v>4.4028899999999993</v>
      </c>
      <c r="D94" s="66">
        <f t="shared" si="64"/>
        <v>311.05993499999994</v>
      </c>
      <c r="F94" s="64">
        <v>6497</v>
      </c>
      <c r="G94" s="225">
        <f>IF($C94&gt;=Wirtschaftlichkeit!$G$8,Wirtschaftlichkeit!$G$8,IF(AND($C94&lt;=Wirtschaftlichkeit!$G$8,$C94&gt;=Wirtschaftlichkeit!$G$8*Eingabemaske!$B$18),$C94,"0"))</f>
        <v>2.8333333333333335</v>
      </c>
      <c r="H94" s="64">
        <v>6497</v>
      </c>
      <c r="I94" s="66">
        <f t="shared" si="65"/>
        <v>206.83333333333334</v>
      </c>
      <c r="J94" s="64">
        <v>6497</v>
      </c>
      <c r="K94" s="71">
        <f t="shared" si="66"/>
        <v>2.8333333333333335</v>
      </c>
      <c r="L94" s="312">
        <v>6497</v>
      </c>
      <c r="M94" s="286">
        <f>G94*Wirtschaftlichkeit!$G$5/Wirtschaftlichkeit!$G$7</f>
        <v>1</v>
      </c>
      <c r="N94" s="284">
        <f t="shared" si="67"/>
        <v>73</v>
      </c>
      <c r="P94" s="222">
        <v>6497</v>
      </c>
      <c r="Q94" s="225">
        <f>IF($C94&gt;=Wirtschaftlichkeit!$H$8,Wirtschaftlichkeit!$H$8,IF(AND($C94&lt;=Wirtschaftlichkeit!$H$8,$C94&gt;=Wirtschaftlichkeit!$H$8*Eingabemaske!$B$18),$C94,"0"))</f>
        <v>4.4028899999999993</v>
      </c>
      <c r="R94" s="222">
        <v>6497</v>
      </c>
      <c r="S94" s="224">
        <f t="shared" si="68"/>
        <v>311.05993499999994</v>
      </c>
      <c r="T94" s="222">
        <v>6497</v>
      </c>
      <c r="U94" s="226">
        <f t="shared" si="125"/>
        <v>4.4028899999999993</v>
      </c>
      <c r="V94" s="312">
        <v>6497</v>
      </c>
      <c r="W94" s="286">
        <f>Q94*Wirtschaftlichkeit!$H$5/Wirtschaftlichkeit!$H$7</f>
        <v>1.5759421771217708</v>
      </c>
      <c r="X94" s="284">
        <f t="shared" si="70"/>
        <v>111.33879592250921</v>
      </c>
      <c r="Z94" s="222">
        <v>6497</v>
      </c>
      <c r="AA94" s="225">
        <f>IF($C94&gt;=Wirtschaftlichkeit!$I$8,Wirtschaftlichkeit!$I$8,IF(AND($C94&lt;=Wirtschaftlichkeit!$I$8,$C94&gt;=Wirtschaftlichkeit!$I$8*Eingabemaske!$B$18),$C94,"0"))</f>
        <v>4.4028899999999993</v>
      </c>
      <c r="AB94" s="222">
        <v>6497</v>
      </c>
      <c r="AC94" s="224">
        <f t="shared" si="71"/>
        <v>160.70548499999998</v>
      </c>
      <c r="AD94" s="222">
        <v>6497</v>
      </c>
      <c r="AE94" s="226">
        <f t="shared" si="126"/>
        <v>4.4028899999999993</v>
      </c>
      <c r="AF94" s="312">
        <v>6497</v>
      </c>
      <c r="AG94" s="286">
        <f>AA94*Wirtschaftlichkeit!$I$5/Wirtschaftlichkeit!$I$7</f>
        <v>1.6016014105626593</v>
      </c>
      <c r="AH94" s="284">
        <f t="shared" si="73"/>
        <v>58.458451485537061</v>
      </c>
      <c r="AJ94" s="222">
        <v>6497</v>
      </c>
      <c r="AK94" s="225" t="str">
        <f>IF($C94&gt;=Wirtschaftlichkeit!$J$8,Wirtschaftlichkeit!$J$8,IF(AND($C94&lt;=Wirtschaftlichkeit!$J$8,$C94&gt;=Wirtschaftlichkeit!$J$8*Eingabemaske!$B$18),$C94,"0"))</f>
        <v>0</v>
      </c>
      <c r="AL94" s="222">
        <v>6497</v>
      </c>
      <c r="AM94" s="224">
        <f t="shared" si="74"/>
        <v>0</v>
      </c>
      <c r="AN94" s="222">
        <v>6497</v>
      </c>
      <c r="AO94" s="226" t="str">
        <f t="shared" si="127"/>
        <v xml:space="preserve"> </v>
      </c>
      <c r="AP94" s="312">
        <v>6497</v>
      </c>
      <c r="AQ94" s="286">
        <f>AK94*Wirtschaftlichkeit!$J$5/Wirtschaftlichkeit!$J$7</f>
        <v>0</v>
      </c>
      <c r="AR94" s="284">
        <f t="shared" si="76"/>
        <v>0</v>
      </c>
      <c r="AT94" s="222">
        <v>6497</v>
      </c>
      <c r="AU94" s="225" t="str">
        <f>IF($C94&gt;=Wirtschaftlichkeit!$K$8,Wirtschaftlichkeit!$K$8,IF(AND($C94&lt;=Wirtschaftlichkeit!$K$8,$C94&gt;=Wirtschaftlichkeit!$K$8*Eingabemaske!$B$18),$C94,"0"))</f>
        <v>0</v>
      </c>
      <c r="AV94" s="222">
        <v>6497</v>
      </c>
      <c r="AW94" s="224">
        <f t="shared" si="77"/>
        <v>0</v>
      </c>
      <c r="AX94" s="222">
        <v>6497</v>
      </c>
      <c r="AY94" s="226" t="str">
        <f t="shared" si="128"/>
        <v xml:space="preserve"> </v>
      </c>
      <c r="AZ94" s="312">
        <v>6497</v>
      </c>
      <c r="BA94" s="286">
        <f>AU94*Wirtschaftlichkeit!$K$5/Wirtschaftlichkeit!$K$7</f>
        <v>0</v>
      </c>
      <c r="BB94" s="284">
        <f t="shared" si="79"/>
        <v>0</v>
      </c>
      <c r="BD94" s="222">
        <v>6497</v>
      </c>
      <c r="BE94" s="225" t="str">
        <f>IF($C94&gt;=Wirtschaftlichkeit!$L$8,Wirtschaftlichkeit!$L$8,IF(AND($C94&lt;=Wirtschaftlichkeit!$L$8,$C94&gt;=Wirtschaftlichkeit!$L$8*Eingabemaske!$B$18),$C94,"0"))</f>
        <v>0</v>
      </c>
      <c r="BF94" s="222">
        <v>6497</v>
      </c>
      <c r="BG94" s="224">
        <f t="shared" si="80"/>
        <v>0</v>
      </c>
      <c r="BH94" s="222">
        <v>6497</v>
      </c>
      <c r="BI94" s="226" t="str">
        <f t="shared" si="129"/>
        <v xml:space="preserve"> </v>
      </c>
      <c r="BJ94" s="312">
        <v>6497</v>
      </c>
      <c r="BK94" s="286">
        <f>BE94*Wirtschaftlichkeit!$L$5/Wirtschaftlichkeit!$L$7</f>
        <v>0</v>
      </c>
      <c r="BL94" s="284">
        <f t="shared" si="82"/>
        <v>0</v>
      </c>
      <c r="BN94" s="222">
        <v>6497</v>
      </c>
      <c r="BO94" s="225" t="str">
        <f>IF($C94&gt;=Wirtschaftlichkeit!$M$8,Wirtschaftlichkeit!$M$8,IF(AND($C94&lt;=Wirtschaftlichkeit!$M$8,$C94&gt;=Wirtschaftlichkeit!$M$8*Eingabemaske!$B$18),$C94,"0"))</f>
        <v>0</v>
      </c>
      <c r="BP94" s="222">
        <v>6497</v>
      </c>
      <c r="BQ94" s="224">
        <f t="shared" si="83"/>
        <v>0</v>
      </c>
      <c r="BR94" s="222">
        <v>6497</v>
      </c>
      <c r="BS94" s="226" t="str">
        <f t="shared" si="130"/>
        <v xml:space="preserve"> </v>
      </c>
      <c r="BT94" s="312">
        <v>6497</v>
      </c>
      <c r="BU94" s="286">
        <f>BO94*Wirtschaftlichkeit!$M$5/Wirtschaftlichkeit!$M$7</f>
        <v>0</v>
      </c>
      <c r="BV94" s="284">
        <f t="shared" si="85"/>
        <v>0</v>
      </c>
      <c r="BX94" s="222">
        <v>6497</v>
      </c>
      <c r="BY94" s="225" t="str">
        <f>IF($C94&gt;=Wirtschaftlichkeit!$N$8,Wirtschaftlichkeit!$N$8,IF(AND($C94&lt;=Wirtschaftlichkeit!$N$8,$C94&gt;=Wirtschaftlichkeit!$N$8*Eingabemaske!$B$18),$C94,"0"))</f>
        <v>0</v>
      </c>
      <c r="BZ94" s="222">
        <v>6497</v>
      </c>
      <c r="CA94" s="224">
        <f t="shared" si="86"/>
        <v>0</v>
      </c>
      <c r="CB94" s="222">
        <v>6497</v>
      </c>
      <c r="CC94" s="226" t="str">
        <f t="shared" si="131"/>
        <v xml:space="preserve"> </v>
      </c>
      <c r="CD94" s="312">
        <v>6497</v>
      </c>
      <c r="CE94" s="286">
        <f>BY94*Wirtschaftlichkeit!$N$5/Wirtschaftlichkeit!$N$7</f>
        <v>0</v>
      </c>
      <c r="CF94" s="284">
        <f t="shared" si="88"/>
        <v>0</v>
      </c>
      <c r="CH94" s="222">
        <v>6497</v>
      </c>
      <c r="CI94" s="225" t="str">
        <f>IF($C94&gt;=Wirtschaftlichkeit!$O$8,Wirtschaftlichkeit!$O$8,IF(AND($C94&lt;=Wirtschaftlichkeit!$O$8,$C94&gt;=Wirtschaftlichkeit!$O$8*Eingabemaske!$B$18),$C94,"0"))</f>
        <v>0</v>
      </c>
      <c r="CJ94" s="222">
        <v>6497</v>
      </c>
      <c r="CK94" s="224">
        <f t="shared" si="89"/>
        <v>0</v>
      </c>
      <c r="CL94" s="222">
        <v>6497</v>
      </c>
      <c r="CM94" s="226" t="str">
        <f t="shared" si="132"/>
        <v xml:space="preserve"> </v>
      </c>
      <c r="CN94" s="312">
        <v>6497</v>
      </c>
      <c r="CO94" s="286">
        <f>CI94*Wirtschaftlichkeit!$O$5/Wirtschaftlichkeit!$O$7</f>
        <v>0</v>
      </c>
      <c r="CP94" s="284">
        <f t="shared" si="91"/>
        <v>0</v>
      </c>
      <c r="CR94" s="222">
        <v>6497</v>
      </c>
      <c r="CS94" s="225" t="str">
        <f>IF($C94&gt;=Wirtschaftlichkeit!$P$8,Wirtschaftlichkeit!$P$8,IF(AND($C94&lt;=Wirtschaftlichkeit!$P$8,$C94&gt;=Wirtschaftlichkeit!$P$8*Eingabemaske!$B$18),$C94,"0"))</f>
        <v>0</v>
      </c>
      <c r="CT94" s="222">
        <v>6497</v>
      </c>
      <c r="CU94" s="224">
        <f t="shared" si="92"/>
        <v>0</v>
      </c>
      <c r="CV94" s="222">
        <v>6497</v>
      </c>
      <c r="CW94" s="226" t="str">
        <f t="shared" si="133"/>
        <v xml:space="preserve"> </v>
      </c>
      <c r="CX94" s="312">
        <v>6497</v>
      </c>
      <c r="CY94" s="286">
        <f>CS94*Wirtschaftlichkeit!$P$5/Wirtschaftlichkeit!$P$7</f>
        <v>0</v>
      </c>
      <c r="CZ94" s="284">
        <f t="shared" si="94"/>
        <v>0</v>
      </c>
      <c r="DB94" s="222">
        <v>6497</v>
      </c>
      <c r="DC94" s="225" t="str">
        <f>IF($C94&gt;=Wirtschaftlichkeit!$Q$8,Wirtschaftlichkeit!$Q$8,IF(AND($C94&lt;=Wirtschaftlichkeit!$Q$8,$C94&gt;=Wirtschaftlichkeit!$Q$8*Eingabemaske!$B$18),$C94,"0"))</f>
        <v>0</v>
      </c>
      <c r="DD94" s="222">
        <v>6497</v>
      </c>
      <c r="DE94" s="224">
        <f t="shared" si="95"/>
        <v>0</v>
      </c>
      <c r="DF94" s="222">
        <v>6497</v>
      </c>
      <c r="DG94" s="226" t="str">
        <f t="shared" si="134"/>
        <v xml:space="preserve"> </v>
      </c>
      <c r="DH94" s="312">
        <v>6497</v>
      </c>
      <c r="DI94" s="286">
        <f>DC94*Wirtschaftlichkeit!$Q$5/Wirtschaftlichkeit!$Q$7</f>
        <v>0</v>
      </c>
      <c r="DJ94" s="284">
        <f t="shared" si="97"/>
        <v>0</v>
      </c>
      <c r="DL94" s="222">
        <v>6497</v>
      </c>
      <c r="DM94" s="225" t="str">
        <f>IF($C94&gt;=Wirtschaftlichkeit!$R$8,Wirtschaftlichkeit!$R$8,IF(AND($C94&lt;=Wirtschaftlichkeit!$R$8,$C94&gt;=Wirtschaftlichkeit!$R$8*Eingabemaske!$B$18),$C94,"0"))</f>
        <v>0</v>
      </c>
      <c r="DN94" s="222">
        <v>6497</v>
      </c>
      <c r="DO94" s="224">
        <f t="shared" si="98"/>
        <v>0</v>
      </c>
      <c r="DP94" s="222">
        <v>6497</v>
      </c>
      <c r="DQ94" s="226" t="str">
        <f t="shared" si="135"/>
        <v xml:space="preserve"> </v>
      </c>
      <c r="DR94" s="312">
        <v>6497</v>
      </c>
      <c r="DS94" s="286">
        <f>DM94*Wirtschaftlichkeit!$R$5/Wirtschaftlichkeit!$R$7</f>
        <v>0</v>
      </c>
      <c r="DT94" s="284">
        <f t="shared" si="100"/>
        <v>0</v>
      </c>
      <c r="DV94" s="222">
        <v>6497</v>
      </c>
      <c r="DW94" s="225" t="str">
        <f>IF($C94&gt;=Wirtschaftlichkeit!$S$8,Wirtschaftlichkeit!$S$8,IF(AND($C94&lt;=Wirtschaftlichkeit!$S$8,$C94&gt;=Wirtschaftlichkeit!$S$8*Eingabemaske!$B$18),$C94,"0"))</f>
        <v>0</v>
      </c>
      <c r="DX94" s="222">
        <v>6497</v>
      </c>
      <c r="DY94" s="224">
        <f t="shared" si="101"/>
        <v>0</v>
      </c>
      <c r="DZ94" s="222">
        <v>6497</v>
      </c>
      <c r="EA94" s="226" t="str">
        <f t="shared" si="136"/>
        <v xml:space="preserve"> </v>
      </c>
      <c r="EB94" s="312">
        <v>6497</v>
      </c>
      <c r="EC94" s="286">
        <f>DW94*Wirtschaftlichkeit!$S$5/Wirtschaftlichkeit!$S$7</f>
        <v>0</v>
      </c>
      <c r="ED94" s="284">
        <f t="shared" si="103"/>
        <v>0</v>
      </c>
      <c r="EF94" s="222">
        <v>6497</v>
      </c>
      <c r="EG94" s="225" t="str">
        <f>IF($C94&gt;=Wirtschaftlichkeit!$T$8,Wirtschaftlichkeit!$T$8,IF(AND($C94&lt;=Wirtschaftlichkeit!$T$8,$C94&gt;=Wirtschaftlichkeit!$T$8*Eingabemaske!$B$18),$C94,"0"))</f>
        <v>0</v>
      </c>
      <c r="EH94" s="222">
        <v>6497</v>
      </c>
      <c r="EI94" s="224">
        <f t="shared" si="104"/>
        <v>0</v>
      </c>
      <c r="EJ94" s="222">
        <v>6497</v>
      </c>
      <c r="EK94" s="226" t="str">
        <f t="shared" si="137"/>
        <v xml:space="preserve"> </v>
      </c>
      <c r="EL94" s="312">
        <v>6497</v>
      </c>
      <c r="EM94" s="286">
        <f>EG94*Wirtschaftlichkeit!$T$5/Wirtschaftlichkeit!$T$7</f>
        <v>0</v>
      </c>
      <c r="EN94" s="284">
        <f t="shared" si="106"/>
        <v>0</v>
      </c>
      <c r="EP94" s="222">
        <v>6497</v>
      </c>
      <c r="EQ94" s="225" t="str">
        <f>IF($C94&gt;=Wirtschaftlichkeit!$U$8,Wirtschaftlichkeit!$U$8,IF(AND($C94&lt;=Wirtschaftlichkeit!$U$8,$C94&gt;=Wirtschaftlichkeit!$U$8*Eingabemaske!$B$18),$C94,"0"))</f>
        <v>0</v>
      </c>
      <c r="ER94" s="222">
        <v>6497</v>
      </c>
      <c r="ES94" s="224">
        <f t="shared" si="107"/>
        <v>0</v>
      </c>
      <c r="ET94" s="222">
        <v>6497</v>
      </c>
      <c r="EU94" s="226" t="str">
        <f t="shared" si="138"/>
        <v xml:space="preserve"> </v>
      </c>
      <c r="EV94" s="312">
        <v>6497</v>
      </c>
      <c r="EW94" s="286">
        <f>EQ94*Wirtschaftlichkeit!$U$5/Wirtschaftlichkeit!$U$7</f>
        <v>0</v>
      </c>
      <c r="EX94" s="284">
        <f t="shared" si="109"/>
        <v>0</v>
      </c>
      <c r="EZ94" s="222">
        <v>6497</v>
      </c>
      <c r="FA94" s="225" t="str">
        <f>IF($C94&gt;=Wirtschaftlichkeit!$V$8,Wirtschaftlichkeit!$V$8,IF(AND($C94&lt;=Wirtschaftlichkeit!$V$8,$C94&gt;=Wirtschaftlichkeit!$V$8*Eingabemaske!$B$18),$C94,"0"))</f>
        <v>0</v>
      </c>
      <c r="FB94" s="222">
        <v>6497</v>
      </c>
      <c r="FC94" s="224">
        <f t="shared" si="110"/>
        <v>0</v>
      </c>
      <c r="FD94" s="222">
        <v>6497</v>
      </c>
      <c r="FE94" s="226" t="str">
        <f t="shared" si="139"/>
        <v xml:space="preserve"> </v>
      </c>
      <c r="FF94" s="312">
        <v>6497</v>
      </c>
      <c r="FG94" s="286">
        <f>FA94*Wirtschaftlichkeit!$V$5/Wirtschaftlichkeit!$V$7</f>
        <v>0</v>
      </c>
      <c r="FH94" s="284">
        <f t="shared" si="112"/>
        <v>0</v>
      </c>
      <c r="FJ94" s="222">
        <v>6497</v>
      </c>
      <c r="FK94" s="225" t="str">
        <f>IF($C94&gt;=Wirtschaftlichkeit!$W$8,Wirtschaftlichkeit!$W$8,IF(AND($C94&lt;=Wirtschaftlichkeit!$W$8,$C94&gt;=Wirtschaftlichkeit!$W$8*Eingabemaske!$B$18),$C94,"0"))</f>
        <v>0</v>
      </c>
      <c r="FL94" s="222">
        <v>6497</v>
      </c>
      <c r="FM94" s="224">
        <f t="shared" si="113"/>
        <v>0</v>
      </c>
      <c r="FN94" s="222">
        <v>6497</v>
      </c>
      <c r="FO94" s="226" t="str">
        <f t="shared" si="140"/>
        <v xml:space="preserve"> </v>
      </c>
      <c r="FP94" s="312">
        <v>6497</v>
      </c>
      <c r="FQ94" s="286">
        <f>FK94*Wirtschaftlichkeit!$W$5/Wirtschaftlichkeit!$W$7</f>
        <v>0</v>
      </c>
      <c r="FR94" s="284">
        <f t="shared" si="115"/>
        <v>0</v>
      </c>
      <c r="FT94" s="222">
        <v>6497</v>
      </c>
      <c r="FU94" s="225" t="str">
        <f>IF($C94&gt;=Wirtschaftlichkeit!$X$8,Wirtschaftlichkeit!$X$8,IF(AND($C94&lt;=Wirtschaftlichkeit!$X$8,$C94&gt;=Wirtschaftlichkeit!$X$8*Eingabemaske!$B$18),$C94,"0"))</f>
        <v>0</v>
      </c>
      <c r="FV94" s="222">
        <v>6497</v>
      </c>
      <c r="FW94" s="224">
        <f t="shared" si="116"/>
        <v>0</v>
      </c>
      <c r="FX94" s="222">
        <v>6497</v>
      </c>
      <c r="FY94" s="226" t="str">
        <f t="shared" si="141"/>
        <v xml:space="preserve"> </v>
      </c>
      <c r="FZ94" s="312">
        <v>6497</v>
      </c>
      <c r="GA94" s="286">
        <f>FU94*Wirtschaftlichkeit!$X$5/Wirtschaftlichkeit!$X$7</f>
        <v>0</v>
      </c>
      <c r="GB94" s="284">
        <f t="shared" si="118"/>
        <v>0</v>
      </c>
      <c r="GD94" s="222">
        <v>6497</v>
      </c>
      <c r="GE94" s="225" t="str">
        <f>IF($C94&gt;=Wirtschaftlichkeit!$Y$8,Wirtschaftlichkeit!$Y$8,IF(AND($C94&lt;=Wirtschaftlichkeit!$Y$8,$C94&gt;=Wirtschaftlichkeit!$Y$8*Eingabemaske!$B$18),$C94,"0"))</f>
        <v>0</v>
      </c>
      <c r="GF94" s="222">
        <v>6497</v>
      </c>
      <c r="GG94" s="224">
        <f t="shared" si="119"/>
        <v>0</v>
      </c>
      <c r="GH94" s="222">
        <v>6497</v>
      </c>
      <c r="GI94" s="226" t="str">
        <f t="shared" si="142"/>
        <v xml:space="preserve"> </v>
      </c>
      <c r="GJ94" s="312">
        <v>6497</v>
      </c>
      <c r="GK94" s="286">
        <f>GE94*Wirtschaftlichkeit!$Y$5/Wirtschaftlichkeit!$Y$7</f>
        <v>0</v>
      </c>
      <c r="GL94" s="284">
        <f t="shared" si="121"/>
        <v>0</v>
      </c>
      <c r="GN94" s="222">
        <v>6497</v>
      </c>
      <c r="GO94" s="225" t="str">
        <f>IF($C94&gt;=Wirtschaftlichkeit!$Z$8,Wirtschaftlichkeit!$Z$8,IF(AND($C94&lt;=Wirtschaftlichkeit!$Z$8,$C94&gt;=Wirtschaftlichkeit!$Z$8*Eingabemaske!$B$18),$C94,"0"))</f>
        <v>0</v>
      </c>
      <c r="GP94" s="222">
        <v>6497</v>
      </c>
      <c r="GQ94" s="224">
        <f t="shared" si="122"/>
        <v>0</v>
      </c>
      <c r="GR94" s="222">
        <v>6497</v>
      </c>
      <c r="GS94" s="226" t="str">
        <f t="shared" si="143"/>
        <v xml:space="preserve"> </v>
      </c>
      <c r="GT94" s="312">
        <v>6497</v>
      </c>
      <c r="GU94" s="286">
        <f>GO94*Wirtschaftlichkeit!$Z$5/Wirtschaftlichkeit!$Z$7</f>
        <v>0</v>
      </c>
      <c r="GV94" s="284">
        <f t="shared" si="124"/>
        <v>0</v>
      </c>
      <c r="GW94" s="266"/>
      <c r="GX94" s="258">
        <v>6497</v>
      </c>
      <c r="GY94" s="270" t="str">
        <f>IF(Berechnung_Diagramme!$C$28=Berechnungen_Lastgang!$F$2,Berechnungen_Lastgang!G94,IF(Berechnung_Diagramme!$C$28=Berechnungen_Lastgang!$P$2,Berechnungen_Lastgang!Q94,IF(Berechnung_Diagramme!$C$28=Berechnungen_Lastgang!$Z$2,Berechnungen_Lastgang!AA94,IF(Berechnung_Diagramme!$C$28=Berechnungen_Lastgang!$AJ$2,Berechnungen_Lastgang!AK94,IF(Berechnung_Diagramme!$C$28=Berechnungen_Lastgang!$AT$2,Berechnungen_Lastgang!AU94,IF(Berechnung_Diagramme!$C$28=Berechnungen_Lastgang!$BD$2,Berechnungen_Lastgang!BE94,IF(Berechnung_Diagramme!$C$28=Berechnungen_Lastgang!$BN$2,Berechnungen_Lastgang!BO94,IF(Berechnung_Diagramme!$C$28=Berechnungen_Lastgang!$BX$2,Berechnungen_Lastgang!BY94,IF(Berechnung_Diagramme!$C$28=Berechnungen_Lastgang!$CH$2,Berechnungen_Lastgang!CI94,IF(Berechnung_Diagramme!$C$28=Berechnungen_Lastgang!$CR$2,Berechnungen_Lastgang!CS94,IF(Berechnung_Diagramme!$C$28=Berechnungen_Lastgang!$DB$2,Berechnungen_Lastgang!DC94,IF(Berechnung_Diagramme!$C$28=Berechnungen_Lastgang!$DL$2,Berechnungen_Lastgang!DM94,IF(Berechnung_Diagramme!$C$28=Berechnungen_Lastgang!$DV$2,Berechnungen_Lastgang!DW94,IF(Berechnung_Diagramme!$C$28=Berechnungen_Lastgang!$EF$2,Berechnungen_Lastgang!EG94,IF(Berechnung_Diagramme!$C$28=Berechnungen_Lastgang!$EP$2,Berechnungen_Lastgang!EQ94,IF(Berechnung_Diagramme!$C$28=Berechnungen_Lastgang!$EZ$2,Berechnungen_Lastgang!FA94,IF(Berechnung_Diagramme!$C$28=Berechnungen_Lastgang!$FJ$2,Berechnungen_Lastgang!FK94,IF(Berechnung_Diagramme!$C$28=Berechnungen_Lastgang!$FT$2,Berechnungen_Lastgang!FU94,IF(Berechnung_Diagramme!$C$28=Berechnungen_Lastgang!$GD$2,Berechnungen_Lastgang!GE94,IF(Berechnung_Diagramme!$C$28=Berechnungen_Lastgang!$GN$2,Berechnungen_Lastgang!GO94,""))))))))))))))))))))</f>
        <v>0</v>
      </c>
    </row>
    <row r="95" spans="2:207" x14ac:dyDescent="0.25">
      <c r="B95" s="64">
        <v>6570</v>
      </c>
      <c r="C95" s="67">
        <f>LARGE(Berechnung_Diagramme!$AB$5:$AB$16,10)</f>
        <v>4.1193</v>
      </c>
      <c r="D95" s="66">
        <f t="shared" si="64"/>
        <v>295.26894000000004</v>
      </c>
      <c r="F95" s="64">
        <v>6570</v>
      </c>
      <c r="G95" s="225">
        <f>IF($C95&gt;=Wirtschaftlichkeit!$G$8,Wirtschaftlichkeit!$G$8,IF(AND($C95&lt;=Wirtschaftlichkeit!$G$8,$C95&gt;=Wirtschaftlichkeit!$G$8*Eingabemaske!$B$18),$C95,"0"))</f>
        <v>2.8333333333333335</v>
      </c>
      <c r="H95" s="64">
        <v>6570</v>
      </c>
      <c r="I95" s="66">
        <f t="shared" si="65"/>
        <v>206.83333333333334</v>
      </c>
      <c r="J95" s="64">
        <v>6570</v>
      </c>
      <c r="K95" s="71">
        <f t="shared" si="66"/>
        <v>2.8333333333333335</v>
      </c>
      <c r="L95" s="312">
        <v>6570</v>
      </c>
      <c r="M95" s="286">
        <f>G95*Wirtschaftlichkeit!$G$5/Wirtschaftlichkeit!$G$7</f>
        <v>1</v>
      </c>
      <c r="N95" s="284">
        <f t="shared" si="67"/>
        <v>73</v>
      </c>
      <c r="P95" s="222">
        <v>6570</v>
      </c>
      <c r="Q95" s="225">
        <f>IF($C95&gt;=Wirtschaftlichkeit!$H$8,Wirtschaftlichkeit!$H$8,IF(AND($C95&lt;=Wirtschaftlichkeit!$H$8,$C95&gt;=Wirtschaftlichkeit!$H$8*Eingabemaske!$B$18),$C95,"0"))</f>
        <v>4.1193</v>
      </c>
      <c r="R95" s="222">
        <v>6570</v>
      </c>
      <c r="S95" s="224">
        <f t="shared" si="68"/>
        <v>295.26894000000004</v>
      </c>
      <c r="T95" s="222">
        <v>6570</v>
      </c>
      <c r="U95" s="226">
        <f t="shared" si="125"/>
        <v>4.1193</v>
      </c>
      <c r="V95" s="312">
        <v>6570</v>
      </c>
      <c r="W95" s="286">
        <f>Q95*Wirtschaftlichkeit!$H$5/Wirtschaftlichkeit!$H$7</f>
        <v>1.4744357933579335</v>
      </c>
      <c r="X95" s="284">
        <f t="shared" si="70"/>
        <v>105.68666856088561</v>
      </c>
      <c r="Z95" s="222">
        <v>6570</v>
      </c>
      <c r="AA95" s="225" t="str">
        <f>IF($C95&gt;=Wirtschaftlichkeit!$I$8,Wirtschaftlichkeit!$I$8,IF(AND($C95&lt;=Wirtschaftlichkeit!$I$8,$C95&gt;=Wirtschaftlichkeit!$I$8*Eingabemaske!$B$18),$C95,"0"))</f>
        <v>0</v>
      </c>
      <c r="AB95" s="222">
        <v>6570</v>
      </c>
      <c r="AC95" s="224">
        <f t="shared" si="71"/>
        <v>0</v>
      </c>
      <c r="AD95" s="222">
        <v>6570</v>
      </c>
      <c r="AE95" s="226" t="str">
        <f t="shared" si="126"/>
        <v xml:space="preserve"> </v>
      </c>
      <c r="AF95" s="312">
        <v>6570</v>
      </c>
      <c r="AG95" s="286">
        <f>AA95*Wirtschaftlichkeit!$I$5/Wirtschaftlichkeit!$I$7</f>
        <v>0</v>
      </c>
      <c r="AH95" s="284">
        <f t="shared" si="73"/>
        <v>0</v>
      </c>
      <c r="AJ95" s="222">
        <v>6570</v>
      </c>
      <c r="AK95" s="225" t="str">
        <f>IF($C95&gt;=Wirtschaftlichkeit!$J$8,Wirtschaftlichkeit!$J$8,IF(AND($C95&lt;=Wirtschaftlichkeit!$J$8,$C95&gt;=Wirtschaftlichkeit!$J$8*Eingabemaske!$B$18),$C95,"0"))</f>
        <v>0</v>
      </c>
      <c r="AL95" s="222">
        <v>6570</v>
      </c>
      <c r="AM95" s="224">
        <f t="shared" si="74"/>
        <v>0</v>
      </c>
      <c r="AN95" s="222">
        <v>6570</v>
      </c>
      <c r="AO95" s="226" t="str">
        <f t="shared" si="127"/>
        <v xml:space="preserve"> </v>
      </c>
      <c r="AP95" s="312">
        <v>6570</v>
      </c>
      <c r="AQ95" s="286">
        <f>AK95*Wirtschaftlichkeit!$J$5/Wirtschaftlichkeit!$J$7</f>
        <v>0</v>
      </c>
      <c r="AR95" s="284">
        <f t="shared" si="76"/>
        <v>0</v>
      </c>
      <c r="AT95" s="222">
        <v>6570</v>
      </c>
      <c r="AU95" s="225" t="str">
        <f>IF($C95&gt;=Wirtschaftlichkeit!$K$8,Wirtschaftlichkeit!$K$8,IF(AND($C95&lt;=Wirtschaftlichkeit!$K$8,$C95&gt;=Wirtschaftlichkeit!$K$8*Eingabemaske!$B$18),$C95,"0"))</f>
        <v>0</v>
      </c>
      <c r="AV95" s="222">
        <v>6570</v>
      </c>
      <c r="AW95" s="224">
        <f t="shared" si="77"/>
        <v>0</v>
      </c>
      <c r="AX95" s="222">
        <v>6570</v>
      </c>
      <c r="AY95" s="226" t="str">
        <f t="shared" si="128"/>
        <v xml:space="preserve"> </v>
      </c>
      <c r="AZ95" s="312">
        <v>6570</v>
      </c>
      <c r="BA95" s="286">
        <f>AU95*Wirtschaftlichkeit!$K$5/Wirtschaftlichkeit!$K$7</f>
        <v>0</v>
      </c>
      <c r="BB95" s="284">
        <f t="shared" si="79"/>
        <v>0</v>
      </c>
      <c r="BD95" s="222">
        <v>6570</v>
      </c>
      <c r="BE95" s="225" t="str">
        <f>IF($C95&gt;=Wirtschaftlichkeit!$L$8,Wirtschaftlichkeit!$L$8,IF(AND($C95&lt;=Wirtschaftlichkeit!$L$8,$C95&gt;=Wirtschaftlichkeit!$L$8*Eingabemaske!$B$18),$C95,"0"))</f>
        <v>0</v>
      </c>
      <c r="BF95" s="222">
        <v>6570</v>
      </c>
      <c r="BG95" s="224">
        <f t="shared" si="80"/>
        <v>0</v>
      </c>
      <c r="BH95" s="222">
        <v>6570</v>
      </c>
      <c r="BI95" s="226" t="str">
        <f t="shared" si="129"/>
        <v xml:space="preserve"> </v>
      </c>
      <c r="BJ95" s="312">
        <v>6570</v>
      </c>
      <c r="BK95" s="286">
        <f>BE95*Wirtschaftlichkeit!$L$5/Wirtschaftlichkeit!$L$7</f>
        <v>0</v>
      </c>
      <c r="BL95" s="284">
        <f t="shared" si="82"/>
        <v>0</v>
      </c>
      <c r="BN95" s="222">
        <v>6570</v>
      </c>
      <c r="BO95" s="225" t="str">
        <f>IF($C95&gt;=Wirtschaftlichkeit!$M$8,Wirtschaftlichkeit!$M$8,IF(AND($C95&lt;=Wirtschaftlichkeit!$M$8,$C95&gt;=Wirtschaftlichkeit!$M$8*Eingabemaske!$B$18),$C95,"0"))</f>
        <v>0</v>
      </c>
      <c r="BP95" s="222">
        <v>6570</v>
      </c>
      <c r="BQ95" s="224">
        <f t="shared" si="83"/>
        <v>0</v>
      </c>
      <c r="BR95" s="222">
        <v>6570</v>
      </c>
      <c r="BS95" s="226" t="str">
        <f t="shared" si="130"/>
        <v xml:space="preserve"> </v>
      </c>
      <c r="BT95" s="312">
        <v>6570</v>
      </c>
      <c r="BU95" s="286">
        <f>BO95*Wirtschaftlichkeit!$M$5/Wirtschaftlichkeit!$M$7</f>
        <v>0</v>
      </c>
      <c r="BV95" s="284">
        <f t="shared" si="85"/>
        <v>0</v>
      </c>
      <c r="BX95" s="222">
        <v>6570</v>
      </c>
      <c r="BY95" s="225" t="str">
        <f>IF($C95&gt;=Wirtschaftlichkeit!$N$8,Wirtschaftlichkeit!$N$8,IF(AND($C95&lt;=Wirtschaftlichkeit!$N$8,$C95&gt;=Wirtschaftlichkeit!$N$8*Eingabemaske!$B$18),$C95,"0"))</f>
        <v>0</v>
      </c>
      <c r="BZ95" s="222">
        <v>6570</v>
      </c>
      <c r="CA95" s="224">
        <f t="shared" si="86"/>
        <v>0</v>
      </c>
      <c r="CB95" s="222">
        <v>6570</v>
      </c>
      <c r="CC95" s="226" t="str">
        <f t="shared" si="131"/>
        <v xml:space="preserve"> </v>
      </c>
      <c r="CD95" s="312">
        <v>6570</v>
      </c>
      <c r="CE95" s="286">
        <f>BY95*Wirtschaftlichkeit!$N$5/Wirtschaftlichkeit!$N$7</f>
        <v>0</v>
      </c>
      <c r="CF95" s="284">
        <f t="shared" si="88"/>
        <v>0</v>
      </c>
      <c r="CH95" s="222">
        <v>6570</v>
      </c>
      <c r="CI95" s="225" t="str">
        <f>IF($C95&gt;=Wirtschaftlichkeit!$O$8,Wirtschaftlichkeit!$O$8,IF(AND($C95&lt;=Wirtschaftlichkeit!$O$8,$C95&gt;=Wirtschaftlichkeit!$O$8*Eingabemaske!$B$18),$C95,"0"))</f>
        <v>0</v>
      </c>
      <c r="CJ95" s="222">
        <v>6570</v>
      </c>
      <c r="CK95" s="224">
        <f t="shared" si="89"/>
        <v>0</v>
      </c>
      <c r="CL95" s="222">
        <v>6570</v>
      </c>
      <c r="CM95" s="226" t="str">
        <f t="shared" si="132"/>
        <v xml:space="preserve"> </v>
      </c>
      <c r="CN95" s="312">
        <v>6570</v>
      </c>
      <c r="CO95" s="286">
        <f>CI95*Wirtschaftlichkeit!$O$5/Wirtschaftlichkeit!$O$7</f>
        <v>0</v>
      </c>
      <c r="CP95" s="284">
        <f t="shared" si="91"/>
        <v>0</v>
      </c>
      <c r="CR95" s="222">
        <v>6570</v>
      </c>
      <c r="CS95" s="225" t="str">
        <f>IF($C95&gt;=Wirtschaftlichkeit!$P$8,Wirtschaftlichkeit!$P$8,IF(AND($C95&lt;=Wirtschaftlichkeit!$P$8,$C95&gt;=Wirtschaftlichkeit!$P$8*Eingabemaske!$B$18),$C95,"0"))</f>
        <v>0</v>
      </c>
      <c r="CT95" s="222">
        <v>6570</v>
      </c>
      <c r="CU95" s="224">
        <f t="shared" si="92"/>
        <v>0</v>
      </c>
      <c r="CV95" s="222">
        <v>6570</v>
      </c>
      <c r="CW95" s="226" t="str">
        <f t="shared" si="133"/>
        <v xml:space="preserve"> </v>
      </c>
      <c r="CX95" s="312">
        <v>6570</v>
      </c>
      <c r="CY95" s="286">
        <f>CS95*Wirtschaftlichkeit!$P$5/Wirtschaftlichkeit!$P$7</f>
        <v>0</v>
      </c>
      <c r="CZ95" s="284">
        <f t="shared" si="94"/>
        <v>0</v>
      </c>
      <c r="DB95" s="222">
        <v>6570</v>
      </c>
      <c r="DC95" s="225" t="str">
        <f>IF($C95&gt;=Wirtschaftlichkeit!$Q$8,Wirtschaftlichkeit!$Q$8,IF(AND($C95&lt;=Wirtschaftlichkeit!$Q$8,$C95&gt;=Wirtschaftlichkeit!$Q$8*Eingabemaske!$B$18),$C95,"0"))</f>
        <v>0</v>
      </c>
      <c r="DD95" s="222">
        <v>6570</v>
      </c>
      <c r="DE95" s="224">
        <f t="shared" si="95"/>
        <v>0</v>
      </c>
      <c r="DF95" s="222">
        <v>6570</v>
      </c>
      <c r="DG95" s="226" t="str">
        <f t="shared" si="134"/>
        <v xml:space="preserve"> </v>
      </c>
      <c r="DH95" s="312">
        <v>6570</v>
      </c>
      <c r="DI95" s="286">
        <f>DC95*Wirtschaftlichkeit!$Q$5/Wirtschaftlichkeit!$Q$7</f>
        <v>0</v>
      </c>
      <c r="DJ95" s="284">
        <f t="shared" si="97"/>
        <v>0</v>
      </c>
      <c r="DL95" s="222">
        <v>6570</v>
      </c>
      <c r="DM95" s="225" t="str">
        <f>IF($C95&gt;=Wirtschaftlichkeit!$R$8,Wirtschaftlichkeit!$R$8,IF(AND($C95&lt;=Wirtschaftlichkeit!$R$8,$C95&gt;=Wirtschaftlichkeit!$R$8*Eingabemaske!$B$18),$C95,"0"))</f>
        <v>0</v>
      </c>
      <c r="DN95" s="222">
        <v>6570</v>
      </c>
      <c r="DO95" s="224">
        <f t="shared" si="98"/>
        <v>0</v>
      </c>
      <c r="DP95" s="222">
        <v>6570</v>
      </c>
      <c r="DQ95" s="226" t="str">
        <f t="shared" si="135"/>
        <v xml:space="preserve"> </v>
      </c>
      <c r="DR95" s="312">
        <v>6570</v>
      </c>
      <c r="DS95" s="286">
        <f>DM95*Wirtschaftlichkeit!$R$5/Wirtschaftlichkeit!$R$7</f>
        <v>0</v>
      </c>
      <c r="DT95" s="284">
        <f t="shared" si="100"/>
        <v>0</v>
      </c>
      <c r="DV95" s="222">
        <v>6570</v>
      </c>
      <c r="DW95" s="225" t="str">
        <f>IF($C95&gt;=Wirtschaftlichkeit!$S$8,Wirtschaftlichkeit!$S$8,IF(AND($C95&lt;=Wirtschaftlichkeit!$S$8,$C95&gt;=Wirtschaftlichkeit!$S$8*Eingabemaske!$B$18),$C95,"0"))</f>
        <v>0</v>
      </c>
      <c r="DX95" s="222">
        <v>6570</v>
      </c>
      <c r="DY95" s="224">
        <f t="shared" si="101"/>
        <v>0</v>
      </c>
      <c r="DZ95" s="222">
        <v>6570</v>
      </c>
      <c r="EA95" s="226" t="str">
        <f t="shared" si="136"/>
        <v xml:space="preserve"> </v>
      </c>
      <c r="EB95" s="312">
        <v>6570</v>
      </c>
      <c r="EC95" s="286">
        <f>DW95*Wirtschaftlichkeit!$S$5/Wirtschaftlichkeit!$S$7</f>
        <v>0</v>
      </c>
      <c r="ED95" s="284">
        <f t="shared" si="103"/>
        <v>0</v>
      </c>
      <c r="EF95" s="222">
        <v>6570</v>
      </c>
      <c r="EG95" s="225" t="str">
        <f>IF($C95&gt;=Wirtschaftlichkeit!$T$8,Wirtschaftlichkeit!$T$8,IF(AND($C95&lt;=Wirtschaftlichkeit!$T$8,$C95&gt;=Wirtschaftlichkeit!$T$8*Eingabemaske!$B$18),$C95,"0"))</f>
        <v>0</v>
      </c>
      <c r="EH95" s="222">
        <v>6570</v>
      </c>
      <c r="EI95" s="224">
        <f t="shared" si="104"/>
        <v>0</v>
      </c>
      <c r="EJ95" s="222">
        <v>6570</v>
      </c>
      <c r="EK95" s="226" t="str">
        <f t="shared" si="137"/>
        <v xml:space="preserve"> </v>
      </c>
      <c r="EL95" s="312">
        <v>6570</v>
      </c>
      <c r="EM95" s="286">
        <f>EG95*Wirtschaftlichkeit!$T$5/Wirtschaftlichkeit!$T$7</f>
        <v>0</v>
      </c>
      <c r="EN95" s="284">
        <f t="shared" si="106"/>
        <v>0</v>
      </c>
      <c r="EP95" s="222">
        <v>6570</v>
      </c>
      <c r="EQ95" s="225" t="str">
        <f>IF($C95&gt;=Wirtschaftlichkeit!$U$8,Wirtschaftlichkeit!$U$8,IF(AND($C95&lt;=Wirtschaftlichkeit!$U$8,$C95&gt;=Wirtschaftlichkeit!$U$8*Eingabemaske!$B$18),$C95,"0"))</f>
        <v>0</v>
      </c>
      <c r="ER95" s="222">
        <v>6570</v>
      </c>
      <c r="ES95" s="224">
        <f t="shared" si="107"/>
        <v>0</v>
      </c>
      <c r="ET95" s="222">
        <v>6570</v>
      </c>
      <c r="EU95" s="226" t="str">
        <f t="shared" si="138"/>
        <v xml:space="preserve"> </v>
      </c>
      <c r="EV95" s="312">
        <v>6570</v>
      </c>
      <c r="EW95" s="286">
        <f>EQ95*Wirtschaftlichkeit!$U$5/Wirtschaftlichkeit!$U$7</f>
        <v>0</v>
      </c>
      <c r="EX95" s="284">
        <f t="shared" si="109"/>
        <v>0</v>
      </c>
      <c r="EZ95" s="222">
        <v>6570</v>
      </c>
      <c r="FA95" s="225" t="str">
        <f>IF($C95&gt;=Wirtschaftlichkeit!$V$8,Wirtschaftlichkeit!$V$8,IF(AND($C95&lt;=Wirtschaftlichkeit!$V$8,$C95&gt;=Wirtschaftlichkeit!$V$8*Eingabemaske!$B$18),$C95,"0"))</f>
        <v>0</v>
      </c>
      <c r="FB95" s="222">
        <v>6570</v>
      </c>
      <c r="FC95" s="224">
        <f t="shared" si="110"/>
        <v>0</v>
      </c>
      <c r="FD95" s="222">
        <v>6570</v>
      </c>
      <c r="FE95" s="226" t="str">
        <f t="shared" si="139"/>
        <v xml:space="preserve"> </v>
      </c>
      <c r="FF95" s="312">
        <v>6570</v>
      </c>
      <c r="FG95" s="286">
        <f>FA95*Wirtschaftlichkeit!$V$5/Wirtschaftlichkeit!$V$7</f>
        <v>0</v>
      </c>
      <c r="FH95" s="284">
        <f t="shared" si="112"/>
        <v>0</v>
      </c>
      <c r="FJ95" s="222">
        <v>6570</v>
      </c>
      <c r="FK95" s="225" t="str">
        <f>IF($C95&gt;=Wirtschaftlichkeit!$W$8,Wirtschaftlichkeit!$W$8,IF(AND($C95&lt;=Wirtschaftlichkeit!$W$8,$C95&gt;=Wirtschaftlichkeit!$W$8*Eingabemaske!$B$18),$C95,"0"))</f>
        <v>0</v>
      </c>
      <c r="FL95" s="222">
        <v>6570</v>
      </c>
      <c r="FM95" s="224">
        <f t="shared" si="113"/>
        <v>0</v>
      </c>
      <c r="FN95" s="222">
        <v>6570</v>
      </c>
      <c r="FO95" s="226" t="str">
        <f t="shared" si="140"/>
        <v xml:space="preserve"> </v>
      </c>
      <c r="FP95" s="312">
        <v>6570</v>
      </c>
      <c r="FQ95" s="286">
        <f>FK95*Wirtschaftlichkeit!$W$5/Wirtschaftlichkeit!$W$7</f>
        <v>0</v>
      </c>
      <c r="FR95" s="284">
        <f t="shared" si="115"/>
        <v>0</v>
      </c>
      <c r="FT95" s="222">
        <v>6570</v>
      </c>
      <c r="FU95" s="225" t="str">
        <f>IF($C95&gt;=Wirtschaftlichkeit!$X$8,Wirtschaftlichkeit!$X$8,IF(AND($C95&lt;=Wirtschaftlichkeit!$X$8,$C95&gt;=Wirtschaftlichkeit!$X$8*Eingabemaske!$B$18),$C95,"0"))</f>
        <v>0</v>
      </c>
      <c r="FV95" s="222">
        <v>6570</v>
      </c>
      <c r="FW95" s="224">
        <f t="shared" si="116"/>
        <v>0</v>
      </c>
      <c r="FX95" s="222">
        <v>6570</v>
      </c>
      <c r="FY95" s="226" t="str">
        <f t="shared" si="141"/>
        <v xml:space="preserve"> </v>
      </c>
      <c r="FZ95" s="312">
        <v>6570</v>
      </c>
      <c r="GA95" s="286">
        <f>FU95*Wirtschaftlichkeit!$X$5/Wirtschaftlichkeit!$X$7</f>
        <v>0</v>
      </c>
      <c r="GB95" s="284">
        <f t="shared" si="118"/>
        <v>0</v>
      </c>
      <c r="GD95" s="222">
        <v>6570</v>
      </c>
      <c r="GE95" s="225" t="str">
        <f>IF($C95&gt;=Wirtschaftlichkeit!$Y$8,Wirtschaftlichkeit!$Y$8,IF(AND($C95&lt;=Wirtschaftlichkeit!$Y$8,$C95&gt;=Wirtschaftlichkeit!$Y$8*Eingabemaske!$B$18),$C95,"0"))</f>
        <v>0</v>
      </c>
      <c r="GF95" s="222">
        <v>6570</v>
      </c>
      <c r="GG95" s="224">
        <f t="shared" si="119"/>
        <v>0</v>
      </c>
      <c r="GH95" s="222">
        <v>6570</v>
      </c>
      <c r="GI95" s="226" t="str">
        <f t="shared" si="142"/>
        <v xml:space="preserve"> </v>
      </c>
      <c r="GJ95" s="312">
        <v>6570</v>
      </c>
      <c r="GK95" s="286">
        <f>GE95*Wirtschaftlichkeit!$Y$5/Wirtschaftlichkeit!$Y$7</f>
        <v>0</v>
      </c>
      <c r="GL95" s="284">
        <f t="shared" si="121"/>
        <v>0</v>
      </c>
      <c r="GN95" s="222">
        <v>6570</v>
      </c>
      <c r="GO95" s="225" t="str">
        <f>IF($C95&gt;=Wirtschaftlichkeit!$Z$8,Wirtschaftlichkeit!$Z$8,IF(AND($C95&lt;=Wirtschaftlichkeit!$Z$8,$C95&gt;=Wirtschaftlichkeit!$Z$8*Eingabemaske!$B$18),$C95,"0"))</f>
        <v>0</v>
      </c>
      <c r="GP95" s="222">
        <v>6570</v>
      </c>
      <c r="GQ95" s="224">
        <f t="shared" si="122"/>
        <v>0</v>
      </c>
      <c r="GR95" s="222">
        <v>6570</v>
      </c>
      <c r="GS95" s="226" t="str">
        <f t="shared" si="143"/>
        <v xml:space="preserve"> </v>
      </c>
      <c r="GT95" s="312">
        <v>6570</v>
      </c>
      <c r="GU95" s="286">
        <f>GO95*Wirtschaftlichkeit!$Z$5/Wirtschaftlichkeit!$Z$7</f>
        <v>0</v>
      </c>
      <c r="GV95" s="284">
        <f t="shared" si="124"/>
        <v>0</v>
      </c>
      <c r="GW95" s="266"/>
      <c r="GX95" s="258">
        <v>6570</v>
      </c>
      <c r="GY95" s="270" t="str">
        <f>IF(Berechnung_Diagramme!$C$28=Berechnungen_Lastgang!$F$2,Berechnungen_Lastgang!G95,IF(Berechnung_Diagramme!$C$28=Berechnungen_Lastgang!$P$2,Berechnungen_Lastgang!Q95,IF(Berechnung_Diagramme!$C$28=Berechnungen_Lastgang!$Z$2,Berechnungen_Lastgang!AA95,IF(Berechnung_Diagramme!$C$28=Berechnungen_Lastgang!$AJ$2,Berechnungen_Lastgang!AK95,IF(Berechnung_Diagramme!$C$28=Berechnungen_Lastgang!$AT$2,Berechnungen_Lastgang!AU95,IF(Berechnung_Diagramme!$C$28=Berechnungen_Lastgang!$BD$2,Berechnungen_Lastgang!BE95,IF(Berechnung_Diagramme!$C$28=Berechnungen_Lastgang!$BN$2,Berechnungen_Lastgang!BO95,IF(Berechnung_Diagramme!$C$28=Berechnungen_Lastgang!$BX$2,Berechnungen_Lastgang!BY95,IF(Berechnung_Diagramme!$C$28=Berechnungen_Lastgang!$CH$2,Berechnungen_Lastgang!CI95,IF(Berechnung_Diagramme!$C$28=Berechnungen_Lastgang!$CR$2,Berechnungen_Lastgang!CS95,IF(Berechnung_Diagramme!$C$28=Berechnungen_Lastgang!$DB$2,Berechnungen_Lastgang!DC95,IF(Berechnung_Diagramme!$C$28=Berechnungen_Lastgang!$DL$2,Berechnungen_Lastgang!DM95,IF(Berechnung_Diagramme!$C$28=Berechnungen_Lastgang!$DV$2,Berechnungen_Lastgang!DW95,IF(Berechnung_Diagramme!$C$28=Berechnungen_Lastgang!$EF$2,Berechnungen_Lastgang!EG95,IF(Berechnung_Diagramme!$C$28=Berechnungen_Lastgang!$EP$2,Berechnungen_Lastgang!EQ95,IF(Berechnung_Diagramme!$C$28=Berechnungen_Lastgang!$EZ$2,Berechnungen_Lastgang!FA95,IF(Berechnung_Diagramme!$C$28=Berechnungen_Lastgang!$FJ$2,Berechnungen_Lastgang!FK95,IF(Berechnung_Diagramme!$C$28=Berechnungen_Lastgang!$FT$2,Berechnungen_Lastgang!FU95,IF(Berechnung_Diagramme!$C$28=Berechnungen_Lastgang!$GD$2,Berechnungen_Lastgang!GE95,IF(Berechnung_Diagramme!$C$28=Berechnungen_Lastgang!$GN$2,Berechnungen_Lastgang!GO95,""))))))))))))))))))))</f>
        <v>0</v>
      </c>
    </row>
    <row r="96" spans="2:207" x14ac:dyDescent="0.25">
      <c r="B96" s="64">
        <v>6643</v>
      </c>
      <c r="C96" s="67">
        <f>C95+((C100-C95)/(B100-B95))*(B96-B95)</f>
        <v>3.9702600000000001</v>
      </c>
      <c r="D96" s="66">
        <f t="shared" si="64"/>
        <v>284.38902000000002</v>
      </c>
      <c r="F96" s="64">
        <v>6643</v>
      </c>
      <c r="G96" s="225">
        <f>IF($C96&gt;=Wirtschaftlichkeit!$G$8,Wirtschaftlichkeit!$G$8,IF(AND($C96&lt;=Wirtschaftlichkeit!$G$8,$C96&gt;=Wirtschaftlichkeit!$G$8*Eingabemaske!$B$18),$C96,"0"))</f>
        <v>2.8333333333333335</v>
      </c>
      <c r="H96" s="64">
        <v>6643</v>
      </c>
      <c r="I96" s="66">
        <f t="shared" si="65"/>
        <v>206.83333333333334</v>
      </c>
      <c r="J96" s="64">
        <v>6643</v>
      </c>
      <c r="K96" s="71">
        <f t="shared" si="66"/>
        <v>2.8333333333333335</v>
      </c>
      <c r="L96" s="312">
        <v>6643</v>
      </c>
      <c r="M96" s="286">
        <f>G96*Wirtschaftlichkeit!$G$5/Wirtschaftlichkeit!$G$7</f>
        <v>1</v>
      </c>
      <c r="N96" s="284">
        <f t="shared" si="67"/>
        <v>73</v>
      </c>
      <c r="P96" s="222">
        <v>6643</v>
      </c>
      <c r="Q96" s="225">
        <f>IF($C96&gt;=Wirtschaftlichkeit!$H$8,Wirtschaftlichkeit!$H$8,IF(AND($C96&lt;=Wirtschaftlichkeit!$H$8,$C96&gt;=Wirtschaftlichkeit!$H$8*Eingabemaske!$B$18),$C96,"0"))</f>
        <v>3.9702600000000001</v>
      </c>
      <c r="R96" s="222">
        <v>6643</v>
      </c>
      <c r="S96" s="224">
        <f t="shared" si="68"/>
        <v>284.38902000000002</v>
      </c>
      <c r="T96" s="222">
        <v>6643</v>
      </c>
      <c r="U96" s="226">
        <f t="shared" si="125"/>
        <v>3.9702600000000001</v>
      </c>
      <c r="V96" s="312">
        <v>6643</v>
      </c>
      <c r="W96" s="286">
        <f>Q96*Wirtschaftlichkeit!$H$5/Wirtschaftlichkeit!$H$7</f>
        <v>1.421089372693727</v>
      </c>
      <c r="X96" s="284">
        <f t="shared" si="70"/>
        <v>101.79237985239854</v>
      </c>
      <c r="Z96" s="222">
        <v>6643</v>
      </c>
      <c r="AA96" s="225" t="str">
        <f>IF($C96&gt;=Wirtschaftlichkeit!$I$8,Wirtschaftlichkeit!$I$8,IF(AND($C96&lt;=Wirtschaftlichkeit!$I$8,$C96&gt;=Wirtschaftlichkeit!$I$8*Eingabemaske!$B$18),$C96,"0"))</f>
        <v>0</v>
      </c>
      <c r="AB96" s="222">
        <v>6643</v>
      </c>
      <c r="AC96" s="224">
        <f t="shared" si="71"/>
        <v>0</v>
      </c>
      <c r="AD96" s="222">
        <v>6643</v>
      </c>
      <c r="AE96" s="226" t="str">
        <f t="shared" si="126"/>
        <v xml:space="preserve"> </v>
      </c>
      <c r="AF96" s="312">
        <v>6643</v>
      </c>
      <c r="AG96" s="286">
        <f>AA96*Wirtschaftlichkeit!$I$5/Wirtschaftlichkeit!$I$7</f>
        <v>0</v>
      </c>
      <c r="AH96" s="284">
        <f t="shared" si="73"/>
        <v>0</v>
      </c>
      <c r="AJ96" s="222">
        <v>6643</v>
      </c>
      <c r="AK96" s="225" t="str">
        <f>IF($C96&gt;=Wirtschaftlichkeit!$J$8,Wirtschaftlichkeit!$J$8,IF(AND($C96&lt;=Wirtschaftlichkeit!$J$8,$C96&gt;=Wirtschaftlichkeit!$J$8*Eingabemaske!$B$18),$C96,"0"))</f>
        <v>0</v>
      </c>
      <c r="AL96" s="222">
        <v>6643</v>
      </c>
      <c r="AM96" s="224">
        <f t="shared" si="74"/>
        <v>0</v>
      </c>
      <c r="AN96" s="222">
        <v>6643</v>
      </c>
      <c r="AO96" s="226" t="str">
        <f t="shared" si="127"/>
        <v xml:space="preserve"> </v>
      </c>
      <c r="AP96" s="312">
        <v>6643</v>
      </c>
      <c r="AQ96" s="286">
        <f>AK96*Wirtschaftlichkeit!$J$5/Wirtschaftlichkeit!$J$7</f>
        <v>0</v>
      </c>
      <c r="AR96" s="284">
        <f t="shared" si="76"/>
        <v>0</v>
      </c>
      <c r="AT96" s="222">
        <v>6643</v>
      </c>
      <c r="AU96" s="225" t="str">
        <f>IF($C96&gt;=Wirtschaftlichkeit!$K$8,Wirtschaftlichkeit!$K$8,IF(AND($C96&lt;=Wirtschaftlichkeit!$K$8,$C96&gt;=Wirtschaftlichkeit!$K$8*Eingabemaske!$B$18),$C96,"0"))</f>
        <v>0</v>
      </c>
      <c r="AV96" s="222">
        <v>6643</v>
      </c>
      <c r="AW96" s="224">
        <f t="shared" si="77"/>
        <v>0</v>
      </c>
      <c r="AX96" s="222">
        <v>6643</v>
      </c>
      <c r="AY96" s="226" t="str">
        <f t="shared" si="128"/>
        <v xml:space="preserve"> </v>
      </c>
      <c r="AZ96" s="312">
        <v>6643</v>
      </c>
      <c r="BA96" s="286">
        <f>AU96*Wirtschaftlichkeit!$K$5/Wirtschaftlichkeit!$K$7</f>
        <v>0</v>
      </c>
      <c r="BB96" s="284">
        <f t="shared" si="79"/>
        <v>0</v>
      </c>
      <c r="BD96" s="222">
        <v>6643</v>
      </c>
      <c r="BE96" s="225" t="str">
        <f>IF($C96&gt;=Wirtschaftlichkeit!$L$8,Wirtschaftlichkeit!$L$8,IF(AND($C96&lt;=Wirtschaftlichkeit!$L$8,$C96&gt;=Wirtschaftlichkeit!$L$8*Eingabemaske!$B$18),$C96,"0"))</f>
        <v>0</v>
      </c>
      <c r="BF96" s="222">
        <v>6643</v>
      </c>
      <c r="BG96" s="224">
        <f t="shared" si="80"/>
        <v>0</v>
      </c>
      <c r="BH96" s="222">
        <v>6643</v>
      </c>
      <c r="BI96" s="226" t="str">
        <f t="shared" si="129"/>
        <v xml:space="preserve"> </v>
      </c>
      <c r="BJ96" s="312">
        <v>6643</v>
      </c>
      <c r="BK96" s="286">
        <f>BE96*Wirtschaftlichkeit!$L$5/Wirtschaftlichkeit!$L$7</f>
        <v>0</v>
      </c>
      <c r="BL96" s="284">
        <f t="shared" si="82"/>
        <v>0</v>
      </c>
      <c r="BN96" s="222">
        <v>6643</v>
      </c>
      <c r="BO96" s="225" t="str">
        <f>IF($C96&gt;=Wirtschaftlichkeit!$M$8,Wirtschaftlichkeit!$M$8,IF(AND($C96&lt;=Wirtschaftlichkeit!$M$8,$C96&gt;=Wirtschaftlichkeit!$M$8*Eingabemaske!$B$18),$C96,"0"))</f>
        <v>0</v>
      </c>
      <c r="BP96" s="222">
        <v>6643</v>
      </c>
      <c r="BQ96" s="224">
        <f t="shared" si="83"/>
        <v>0</v>
      </c>
      <c r="BR96" s="222">
        <v>6643</v>
      </c>
      <c r="BS96" s="226" t="str">
        <f t="shared" si="130"/>
        <v xml:space="preserve"> </v>
      </c>
      <c r="BT96" s="312">
        <v>6643</v>
      </c>
      <c r="BU96" s="286">
        <f>BO96*Wirtschaftlichkeit!$M$5/Wirtschaftlichkeit!$M$7</f>
        <v>0</v>
      </c>
      <c r="BV96" s="284">
        <f t="shared" si="85"/>
        <v>0</v>
      </c>
      <c r="BX96" s="222">
        <v>6643</v>
      </c>
      <c r="BY96" s="225" t="str">
        <f>IF($C96&gt;=Wirtschaftlichkeit!$N$8,Wirtschaftlichkeit!$N$8,IF(AND($C96&lt;=Wirtschaftlichkeit!$N$8,$C96&gt;=Wirtschaftlichkeit!$N$8*Eingabemaske!$B$18),$C96,"0"))</f>
        <v>0</v>
      </c>
      <c r="BZ96" s="222">
        <v>6643</v>
      </c>
      <c r="CA96" s="224">
        <f t="shared" si="86"/>
        <v>0</v>
      </c>
      <c r="CB96" s="222">
        <v>6643</v>
      </c>
      <c r="CC96" s="226" t="str">
        <f t="shared" si="131"/>
        <v xml:space="preserve"> </v>
      </c>
      <c r="CD96" s="312">
        <v>6643</v>
      </c>
      <c r="CE96" s="286">
        <f>BY96*Wirtschaftlichkeit!$N$5/Wirtschaftlichkeit!$N$7</f>
        <v>0</v>
      </c>
      <c r="CF96" s="284">
        <f t="shared" si="88"/>
        <v>0</v>
      </c>
      <c r="CH96" s="222">
        <v>6643</v>
      </c>
      <c r="CI96" s="225" t="str">
        <f>IF($C96&gt;=Wirtschaftlichkeit!$O$8,Wirtschaftlichkeit!$O$8,IF(AND($C96&lt;=Wirtschaftlichkeit!$O$8,$C96&gt;=Wirtschaftlichkeit!$O$8*Eingabemaske!$B$18),$C96,"0"))</f>
        <v>0</v>
      </c>
      <c r="CJ96" s="222">
        <v>6643</v>
      </c>
      <c r="CK96" s="224">
        <f t="shared" si="89"/>
        <v>0</v>
      </c>
      <c r="CL96" s="222">
        <v>6643</v>
      </c>
      <c r="CM96" s="226" t="str">
        <f t="shared" si="132"/>
        <v xml:space="preserve"> </v>
      </c>
      <c r="CN96" s="312">
        <v>6643</v>
      </c>
      <c r="CO96" s="286">
        <f>CI96*Wirtschaftlichkeit!$O$5/Wirtschaftlichkeit!$O$7</f>
        <v>0</v>
      </c>
      <c r="CP96" s="284">
        <f t="shared" si="91"/>
        <v>0</v>
      </c>
      <c r="CR96" s="222">
        <v>6643</v>
      </c>
      <c r="CS96" s="225" t="str">
        <f>IF($C96&gt;=Wirtschaftlichkeit!$P$8,Wirtschaftlichkeit!$P$8,IF(AND($C96&lt;=Wirtschaftlichkeit!$P$8,$C96&gt;=Wirtschaftlichkeit!$P$8*Eingabemaske!$B$18),$C96,"0"))</f>
        <v>0</v>
      </c>
      <c r="CT96" s="222">
        <v>6643</v>
      </c>
      <c r="CU96" s="224">
        <f t="shared" si="92"/>
        <v>0</v>
      </c>
      <c r="CV96" s="222">
        <v>6643</v>
      </c>
      <c r="CW96" s="226" t="str">
        <f t="shared" si="133"/>
        <v xml:space="preserve"> </v>
      </c>
      <c r="CX96" s="312">
        <v>6643</v>
      </c>
      <c r="CY96" s="286">
        <f>CS96*Wirtschaftlichkeit!$P$5/Wirtschaftlichkeit!$P$7</f>
        <v>0</v>
      </c>
      <c r="CZ96" s="284">
        <f t="shared" si="94"/>
        <v>0</v>
      </c>
      <c r="DB96" s="222">
        <v>6643</v>
      </c>
      <c r="DC96" s="225" t="str">
        <f>IF($C96&gt;=Wirtschaftlichkeit!$Q$8,Wirtschaftlichkeit!$Q$8,IF(AND($C96&lt;=Wirtschaftlichkeit!$Q$8,$C96&gt;=Wirtschaftlichkeit!$Q$8*Eingabemaske!$B$18),$C96,"0"))</f>
        <v>0</v>
      </c>
      <c r="DD96" s="222">
        <v>6643</v>
      </c>
      <c r="DE96" s="224">
        <f t="shared" si="95"/>
        <v>0</v>
      </c>
      <c r="DF96" s="222">
        <v>6643</v>
      </c>
      <c r="DG96" s="226" t="str">
        <f t="shared" si="134"/>
        <v xml:space="preserve"> </v>
      </c>
      <c r="DH96" s="312">
        <v>6643</v>
      </c>
      <c r="DI96" s="286">
        <f>DC96*Wirtschaftlichkeit!$Q$5/Wirtschaftlichkeit!$Q$7</f>
        <v>0</v>
      </c>
      <c r="DJ96" s="284">
        <f t="shared" si="97"/>
        <v>0</v>
      </c>
      <c r="DL96" s="222">
        <v>6643</v>
      </c>
      <c r="DM96" s="225" t="str">
        <f>IF($C96&gt;=Wirtschaftlichkeit!$R$8,Wirtschaftlichkeit!$R$8,IF(AND($C96&lt;=Wirtschaftlichkeit!$R$8,$C96&gt;=Wirtschaftlichkeit!$R$8*Eingabemaske!$B$18),$C96,"0"))</f>
        <v>0</v>
      </c>
      <c r="DN96" s="222">
        <v>6643</v>
      </c>
      <c r="DO96" s="224">
        <f t="shared" si="98"/>
        <v>0</v>
      </c>
      <c r="DP96" s="222">
        <v>6643</v>
      </c>
      <c r="DQ96" s="226" t="str">
        <f t="shared" si="135"/>
        <v xml:space="preserve"> </v>
      </c>
      <c r="DR96" s="312">
        <v>6643</v>
      </c>
      <c r="DS96" s="286">
        <f>DM96*Wirtschaftlichkeit!$R$5/Wirtschaftlichkeit!$R$7</f>
        <v>0</v>
      </c>
      <c r="DT96" s="284">
        <f t="shared" si="100"/>
        <v>0</v>
      </c>
      <c r="DV96" s="222">
        <v>6643</v>
      </c>
      <c r="DW96" s="225" t="str">
        <f>IF($C96&gt;=Wirtschaftlichkeit!$S$8,Wirtschaftlichkeit!$S$8,IF(AND($C96&lt;=Wirtschaftlichkeit!$S$8,$C96&gt;=Wirtschaftlichkeit!$S$8*Eingabemaske!$B$18),$C96,"0"))</f>
        <v>0</v>
      </c>
      <c r="DX96" s="222">
        <v>6643</v>
      </c>
      <c r="DY96" s="224">
        <f t="shared" si="101"/>
        <v>0</v>
      </c>
      <c r="DZ96" s="222">
        <v>6643</v>
      </c>
      <c r="EA96" s="226" t="str">
        <f t="shared" si="136"/>
        <v xml:space="preserve"> </v>
      </c>
      <c r="EB96" s="312">
        <v>6643</v>
      </c>
      <c r="EC96" s="286">
        <f>DW96*Wirtschaftlichkeit!$S$5/Wirtschaftlichkeit!$S$7</f>
        <v>0</v>
      </c>
      <c r="ED96" s="284">
        <f t="shared" si="103"/>
        <v>0</v>
      </c>
      <c r="EF96" s="222">
        <v>6643</v>
      </c>
      <c r="EG96" s="225" t="str">
        <f>IF($C96&gt;=Wirtschaftlichkeit!$T$8,Wirtschaftlichkeit!$T$8,IF(AND($C96&lt;=Wirtschaftlichkeit!$T$8,$C96&gt;=Wirtschaftlichkeit!$T$8*Eingabemaske!$B$18),$C96,"0"))</f>
        <v>0</v>
      </c>
      <c r="EH96" s="222">
        <v>6643</v>
      </c>
      <c r="EI96" s="224">
        <f t="shared" si="104"/>
        <v>0</v>
      </c>
      <c r="EJ96" s="222">
        <v>6643</v>
      </c>
      <c r="EK96" s="226" t="str">
        <f t="shared" si="137"/>
        <v xml:space="preserve"> </v>
      </c>
      <c r="EL96" s="312">
        <v>6643</v>
      </c>
      <c r="EM96" s="286">
        <f>EG96*Wirtschaftlichkeit!$T$5/Wirtschaftlichkeit!$T$7</f>
        <v>0</v>
      </c>
      <c r="EN96" s="284">
        <f t="shared" si="106"/>
        <v>0</v>
      </c>
      <c r="EP96" s="222">
        <v>6643</v>
      </c>
      <c r="EQ96" s="225" t="str">
        <f>IF($C96&gt;=Wirtschaftlichkeit!$U$8,Wirtschaftlichkeit!$U$8,IF(AND($C96&lt;=Wirtschaftlichkeit!$U$8,$C96&gt;=Wirtschaftlichkeit!$U$8*Eingabemaske!$B$18),$C96,"0"))</f>
        <v>0</v>
      </c>
      <c r="ER96" s="222">
        <v>6643</v>
      </c>
      <c r="ES96" s="224">
        <f t="shared" si="107"/>
        <v>0</v>
      </c>
      <c r="ET96" s="222">
        <v>6643</v>
      </c>
      <c r="EU96" s="226" t="str">
        <f t="shared" si="138"/>
        <v xml:space="preserve"> </v>
      </c>
      <c r="EV96" s="312">
        <v>6643</v>
      </c>
      <c r="EW96" s="286">
        <f>EQ96*Wirtschaftlichkeit!$U$5/Wirtschaftlichkeit!$U$7</f>
        <v>0</v>
      </c>
      <c r="EX96" s="284">
        <f t="shared" si="109"/>
        <v>0</v>
      </c>
      <c r="EZ96" s="222">
        <v>6643</v>
      </c>
      <c r="FA96" s="225" t="str">
        <f>IF($C96&gt;=Wirtschaftlichkeit!$V$8,Wirtschaftlichkeit!$V$8,IF(AND($C96&lt;=Wirtschaftlichkeit!$V$8,$C96&gt;=Wirtschaftlichkeit!$V$8*Eingabemaske!$B$18),$C96,"0"))</f>
        <v>0</v>
      </c>
      <c r="FB96" s="222">
        <v>6643</v>
      </c>
      <c r="FC96" s="224">
        <f t="shared" si="110"/>
        <v>0</v>
      </c>
      <c r="FD96" s="222">
        <v>6643</v>
      </c>
      <c r="FE96" s="226" t="str">
        <f t="shared" si="139"/>
        <v xml:space="preserve"> </v>
      </c>
      <c r="FF96" s="312">
        <v>6643</v>
      </c>
      <c r="FG96" s="286">
        <f>FA96*Wirtschaftlichkeit!$V$5/Wirtschaftlichkeit!$V$7</f>
        <v>0</v>
      </c>
      <c r="FH96" s="284">
        <f t="shared" si="112"/>
        <v>0</v>
      </c>
      <c r="FJ96" s="222">
        <v>6643</v>
      </c>
      <c r="FK96" s="225" t="str">
        <f>IF($C96&gt;=Wirtschaftlichkeit!$W$8,Wirtschaftlichkeit!$W$8,IF(AND($C96&lt;=Wirtschaftlichkeit!$W$8,$C96&gt;=Wirtschaftlichkeit!$W$8*Eingabemaske!$B$18),$C96,"0"))</f>
        <v>0</v>
      </c>
      <c r="FL96" s="222">
        <v>6643</v>
      </c>
      <c r="FM96" s="224">
        <f t="shared" si="113"/>
        <v>0</v>
      </c>
      <c r="FN96" s="222">
        <v>6643</v>
      </c>
      <c r="FO96" s="226" t="str">
        <f t="shared" si="140"/>
        <v xml:space="preserve"> </v>
      </c>
      <c r="FP96" s="312">
        <v>6643</v>
      </c>
      <c r="FQ96" s="286">
        <f>FK96*Wirtschaftlichkeit!$W$5/Wirtschaftlichkeit!$W$7</f>
        <v>0</v>
      </c>
      <c r="FR96" s="284">
        <f t="shared" si="115"/>
        <v>0</v>
      </c>
      <c r="FT96" s="222">
        <v>6643</v>
      </c>
      <c r="FU96" s="225" t="str">
        <f>IF($C96&gt;=Wirtschaftlichkeit!$X$8,Wirtschaftlichkeit!$X$8,IF(AND($C96&lt;=Wirtschaftlichkeit!$X$8,$C96&gt;=Wirtschaftlichkeit!$X$8*Eingabemaske!$B$18),$C96,"0"))</f>
        <v>0</v>
      </c>
      <c r="FV96" s="222">
        <v>6643</v>
      </c>
      <c r="FW96" s="224">
        <f t="shared" si="116"/>
        <v>0</v>
      </c>
      <c r="FX96" s="222">
        <v>6643</v>
      </c>
      <c r="FY96" s="226" t="str">
        <f t="shared" si="141"/>
        <v xml:space="preserve"> </v>
      </c>
      <c r="FZ96" s="312">
        <v>6643</v>
      </c>
      <c r="GA96" s="286">
        <f>FU96*Wirtschaftlichkeit!$X$5/Wirtschaftlichkeit!$X$7</f>
        <v>0</v>
      </c>
      <c r="GB96" s="284">
        <f t="shared" si="118"/>
        <v>0</v>
      </c>
      <c r="GD96" s="222">
        <v>6643</v>
      </c>
      <c r="GE96" s="225" t="str">
        <f>IF($C96&gt;=Wirtschaftlichkeit!$Y$8,Wirtschaftlichkeit!$Y$8,IF(AND($C96&lt;=Wirtschaftlichkeit!$Y$8,$C96&gt;=Wirtschaftlichkeit!$Y$8*Eingabemaske!$B$18),$C96,"0"))</f>
        <v>0</v>
      </c>
      <c r="GF96" s="222">
        <v>6643</v>
      </c>
      <c r="GG96" s="224">
        <f t="shared" si="119"/>
        <v>0</v>
      </c>
      <c r="GH96" s="222">
        <v>6643</v>
      </c>
      <c r="GI96" s="226" t="str">
        <f t="shared" si="142"/>
        <v xml:space="preserve"> </v>
      </c>
      <c r="GJ96" s="312">
        <v>6643</v>
      </c>
      <c r="GK96" s="286">
        <f>GE96*Wirtschaftlichkeit!$Y$5/Wirtschaftlichkeit!$Y$7</f>
        <v>0</v>
      </c>
      <c r="GL96" s="284">
        <f t="shared" si="121"/>
        <v>0</v>
      </c>
      <c r="GN96" s="222">
        <v>6643</v>
      </c>
      <c r="GO96" s="225" t="str">
        <f>IF($C96&gt;=Wirtschaftlichkeit!$Z$8,Wirtschaftlichkeit!$Z$8,IF(AND($C96&lt;=Wirtschaftlichkeit!$Z$8,$C96&gt;=Wirtschaftlichkeit!$Z$8*Eingabemaske!$B$18),$C96,"0"))</f>
        <v>0</v>
      </c>
      <c r="GP96" s="222">
        <v>6643</v>
      </c>
      <c r="GQ96" s="224">
        <f t="shared" si="122"/>
        <v>0</v>
      </c>
      <c r="GR96" s="222">
        <v>6643</v>
      </c>
      <c r="GS96" s="226" t="str">
        <f t="shared" si="143"/>
        <v xml:space="preserve"> </v>
      </c>
      <c r="GT96" s="312">
        <v>6643</v>
      </c>
      <c r="GU96" s="286">
        <f>GO96*Wirtschaftlichkeit!$Z$5/Wirtschaftlichkeit!$Z$7</f>
        <v>0</v>
      </c>
      <c r="GV96" s="284">
        <f t="shared" si="124"/>
        <v>0</v>
      </c>
      <c r="GW96" s="266"/>
      <c r="GX96" s="258">
        <v>6643</v>
      </c>
      <c r="GY96" s="270" t="str">
        <f>IF(Berechnung_Diagramme!$C$28=Berechnungen_Lastgang!$F$2,Berechnungen_Lastgang!G96,IF(Berechnung_Diagramme!$C$28=Berechnungen_Lastgang!$P$2,Berechnungen_Lastgang!Q96,IF(Berechnung_Diagramme!$C$28=Berechnungen_Lastgang!$Z$2,Berechnungen_Lastgang!AA96,IF(Berechnung_Diagramme!$C$28=Berechnungen_Lastgang!$AJ$2,Berechnungen_Lastgang!AK96,IF(Berechnung_Diagramme!$C$28=Berechnungen_Lastgang!$AT$2,Berechnungen_Lastgang!AU96,IF(Berechnung_Diagramme!$C$28=Berechnungen_Lastgang!$BD$2,Berechnungen_Lastgang!BE96,IF(Berechnung_Diagramme!$C$28=Berechnungen_Lastgang!$BN$2,Berechnungen_Lastgang!BO96,IF(Berechnung_Diagramme!$C$28=Berechnungen_Lastgang!$BX$2,Berechnungen_Lastgang!BY96,IF(Berechnung_Diagramme!$C$28=Berechnungen_Lastgang!$CH$2,Berechnungen_Lastgang!CI96,IF(Berechnung_Diagramme!$C$28=Berechnungen_Lastgang!$CR$2,Berechnungen_Lastgang!CS96,IF(Berechnung_Diagramme!$C$28=Berechnungen_Lastgang!$DB$2,Berechnungen_Lastgang!DC96,IF(Berechnung_Diagramme!$C$28=Berechnungen_Lastgang!$DL$2,Berechnungen_Lastgang!DM96,IF(Berechnung_Diagramme!$C$28=Berechnungen_Lastgang!$DV$2,Berechnungen_Lastgang!DW96,IF(Berechnung_Diagramme!$C$28=Berechnungen_Lastgang!$EF$2,Berechnungen_Lastgang!EG96,IF(Berechnung_Diagramme!$C$28=Berechnungen_Lastgang!$EP$2,Berechnungen_Lastgang!EQ96,IF(Berechnung_Diagramme!$C$28=Berechnungen_Lastgang!$EZ$2,Berechnungen_Lastgang!FA96,IF(Berechnung_Diagramme!$C$28=Berechnungen_Lastgang!$FJ$2,Berechnungen_Lastgang!FK96,IF(Berechnung_Diagramme!$C$28=Berechnungen_Lastgang!$FT$2,Berechnungen_Lastgang!FU96,IF(Berechnung_Diagramme!$C$28=Berechnungen_Lastgang!$GD$2,Berechnungen_Lastgang!GE96,IF(Berechnung_Diagramme!$C$28=Berechnungen_Lastgang!$GN$2,Berechnungen_Lastgang!GO96,""))))))))))))))))))))</f>
        <v>0</v>
      </c>
    </row>
    <row r="97" spans="2:207" x14ac:dyDescent="0.25">
      <c r="B97" s="64">
        <v>6716</v>
      </c>
      <c r="C97" s="67">
        <f>C96+((C100-C96)/(B100-B96))*(B97-B96)</f>
        <v>3.8212200000000003</v>
      </c>
      <c r="D97" s="66">
        <f t="shared" si="64"/>
        <v>273.50909999999999</v>
      </c>
      <c r="F97" s="64">
        <v>6716</v>
      </c>
      <c r="G97" s="225">
        <f>IF($C97&gt;=Wirtschaftlichkeit!$G$8,Wirtschaftlichkeit!$G$8,IF(AND($C97&lt;=Wirtschaftlichkeit!$G$8,$C97&gt;=Wirtschaftlichkeit!$G$8*Eingabemaske!$B$18),$C97,"0"))</f>
        <v>2.8333333333333335</v>
      </c>
      <c r="H97" s="64">
        <v>6716</v>
      </c>
      <c r="I97" s="66">
        <f t="shared" si="65"/>
        <v>206.83333333333334</v>
      </c>
      <c r="J97" s="64">
        <v>6716</v>
      </c>
      <c r="K97" s="71">
        <f t="shared" si="66"/>
        <v>2.8333333333333335</v>
      </c>
      <c r="L97" s="312">
        <v>6716</v>
      </c>
      <c r="M97" s="286">
        <f>G97*Wirtschaftlichkeit!$G$5/Wirtschaftlichkeit!$G$7</f>
        <v>1</v>
      </c>
      <c r="N97" s="284">
        <f t="shared" si="67"/>
        <v>73</v>
      </c>
      <c r="P97" s="222">
        <v>6716</v>
      </c>
      <c r="Q97" s="225">
        <f>IF($C97&gt;=Wirtschaftlichkeit!$H$8,Wirtschaftlichkeit!$H$8,IF(AND($C97&lt;=Wirtschaftlichkeit!$H$8,$C97&gt;=Wirtschaftlichkeit!$H$8*Eingabemaske!$B$18),$C97,"0"))</f>
        <v>3.8212200000000003</v>
      </c>
      <c r="R97" s="222">
        <v>6716</v>
      </c>
      <c r="S97" s="224">
        <f t="shared" si="68"/>
        <v>273.50909999999999</v>
      </c>
      <c r="T97" s="222">
        <v>6716</v>
      </c>
      <c r="U97" s="226">
        <f t="shared" si="125"/>
        <v>3.8212200000000003</v>
      </c>
      <c r="V97" s="312">
        <v>6716</v>
      </c>
      <c r="W97" s="286">
        <f>Q97*Wirtschaftlichkeit!$H$5/Wirtschaftlichkeit!$H$7</f>
        <v>1.3677429520295203</v>
      </c>
      <c r="X97" s="284">
        <f t="shared" si="70"/>
        <v>97.898091143911429</v>
      </c>
      <c r="Z97" s="222">
        <v>6716</v>
      </c>
      <c r="AA97" s="225" t="str">
        <f>IF($C97&gt;=Wirtschaftlichkeit!$I$8,Wirtschaftlichkeit!$I$8,IF(AND($C97&lt;=Wirtschaftlichkeit!$I$8,$C97&gt;=Wirtschaftlichkeit!$I$8*Eingabemaske!$B$18),$C97,"0"))</f>
        <v>0</v>
      </c>
      <c r="AB97" s="222">
        <v>6716</v>
      </c>
      <c r="AC97" s="224">
        <f t="shared" si="71"/>
        <v>0</v>
      </c>
      <c r="AD97" s="222">
        <v>6716</v>
      </c>
      <c r="AE97" s="226" t="str">
        <f t="shared" si="126"/>
        <v xml:space="preserve"> </v>
      </c>
      <c r="AF97" s="312">
        <v>6716</v>
      </c>
      <c r="AG97" s="286">
        <f>AA97*Wirtschaftlichkeit!$I$5/Wirtschaftlichkeit!$I$7</f>
        <v>0</v>
      </c>
      <c r="AH97" s="284">
        <f t="shared" si="73"/>
        <v>0</v>
      </c>
      <c r="AJ97" s="222">
        <v>6716</v>
      </c>
      <c r="AK97" s="225" t="str">
        <f>IF($C97&gt;=Wirtschaftlichkeit!$J$8,Wirtschaftlichkeit!$J$8,IF(AND($C97&lt;=Wirtschaftlichkeit!$J$8,$C97&gt;=Wirtschaftlichkeit!$J$8*Eingabemaske!$B$18),$C97,"0"))</f>
        <v>0</v>
      </c>
      <c r="AL97" s="222">
        <v>6716</v>
      </c>
      <c r="AM97" s="224">
        <f t="shared" si="74"/>
        <v>0</v>
      </c>
      <c r="AN97" s="222">
        <v>6716</v>
      </c>
      <c r="AO97" s="226" t="str">
        <f t="shared" si="127"/>
        <v xml:space="preserve"> </v>
      </c>
      <c r="AP97" s="312">
        <v>6716</v>
      </c>
      <c r="AQ97" s="286">
        <f>AK97*Wirtschaftlichkeit!$J$5/Wirtschaftlichkeit!$J$7</f>
        <v>0</v>
      </c>
      <c r="AR97" s="284">
        <f t="shared" si="76"/>
        <v>0</v>
      </c>
      <c r="AT97" s="222">
        <v>6716</v>
      </c>
      <c r="AU97" s="225" t="str">
        <f>IF($C97&gt;=Wirtschaftlichkeit!$K$8,Wirtschaftlichkeit!$K$8,IF(AND($C97&lt;=Wirtschaftlichkeit!$K$8,$C97&gt;=Wirtschaftlichkeit!$K$8*Eingabemaske!$B$18),$C97,"0"))</f>
        <v>0</v>
      </c>
      <c r="AV97" s="222">
        <v>6716</v>
      </c>
      <c r="AW97" s="224">
        <f t="shared" si="77"/>
        <v>0</v>
      </c>
      <c r="AX97" s="222">
        <v>6716</v>
      </c>
      <c r="AY97" s="226" t="str">
        <f t="shared" si="128"/>
        <v xml:space="preserve"> </v>
      </c>
      <c r="AZ97" s="312">
        <v>6716</v>
      </c>
      <c r="BA97" s="286">
        <f>AU97*Wirtschaftlichkeit!$K$5/Wirtschaftlichkeit!$K$7</f>
        <v>0</v>
      </c>
      <c r="BB97" s="284">
        <f t="shared" si="79"/>
        <v>0</v>
      </c>
      <c r="BD97" s="222">
        <v>6716</v>
      </c>
      <c r="BE97" s="225" t="str">
        <f>IF($C97&gt;=Wirtschaftlichkeit!$L$8,Wirtschaftlichkeit!$L$8,IF(AND($C97&lt;=Wirtschaftlichkeit!$L$8,$C97&gt;=Wirtschaftlichkeit!$L$8*Eingabemaske!$B$18),$C97,"0"))</f>
        <v>0</v>
      </c>
      <c r="BF97" s="222">
        <v>6716</v>
      </c>
      <c r="BG97" s="224">
        <f t="shared" si="80"/>
        <v>0</v>
      </c>
      <c r="BH97" s="222">
        <v>6716</v>
      </c>
      <c r="BI97" s="226" t="str">
        <f t="shared" si="129"/>
        <v xml:space="preserve"> </v>
      </c>
      <c r="BJ97" s="312">
        <v>6716</v>
      </c>
      <c r="BK97" s="286">
        <f>BE97*Wirtschaftlichkeit!$L$5/Wirtschaftlichkeit!$L$7</f>
        <v>0</v>
      </c>
      <c r="BL97" s="284">
        <f t="shared" si="82"/>
        <v>0</v>
      </c>
      <c r="BN97" s="222">
        <v>6716</v>
      </c>
      <c r="BO97" s="225" t="str">
        <f>IF($C97&gt;=Wirtschaftlichkeit!$M$8,Wirtschaftlichkeit!$M$8,IF(AND($C97&lt;=Wirtschaftlichkeit!$M$8,$C97&gt;=Wirtschaftlichkeit!$M$8*Eingabemaske!$B$18),$C97,"0"))</f>
        <v>0</v>
      </c>
      <c r="BP97" s="222">
        <v>6716</v>
      </c>
      <c r="BQ97" s="224">
        <f t="shared" si="83"/>
        <v>0</v>
      </c>
      <c r="BR97" s="222">
        <v>6716</v>
      </c>
      <c r="BS97" s="226" t="str">
        <f t="shared" si="130"/>
        <v xml:space="preserve"> </v>
      </c>
      <c r="BT97" s="312">
        <v>6716</v>
      </c>
      <c r="BU97" s="286">
        <f>BO97*Wirtschaftlichkeit!$M$5/Wirtschaftlichkeit!$M$7</f>
        <v>0</v>
      </c>
      <c r="BV97" s="284">
        <f t="shared" si="85"/>
        <v>0</v>
      </c>
      <c r="BX97" s="222">
        <v>6716</v>
      </c>
      <c r="BY97" s="225" t="str">
        <f>IF($C97&gt;=Wirtschaftlichkeit!$N$8,Wirtschaftlichkeit!$N$8,IF(AND($C97&lt;=Wirtschaftlichkeit!$N$8,$C97&gt;=Wirtschaftlichkeit!$N$8*Eingabemaske!$B$18),$C97,"0"))</f>
        <v>0</v>
      </c>
      <c r="BZ97" s="222">
        <v>6716</v>
      </c>
      <c r="CA97" s="224">
        <f t="shared" si="86"/>
        <v>0</v>
      </c>
      <c r="CB97" s="222">
        <v>6716</v>
      </c>
      <c r="CC97" s="226" t="str">
        <f t="shared" si="131"/>
        <v xml:space="preserve"> </v>
      </c>
      <c r="CD97" s="312">
        <v>6716</v>
      </c>
      <c r="CE97" s="286">
        <f>BY97*Wirtschaftlichkeit!$N$5/Wirtschaftlichkeit!$N$7</f>
        <v>0</v>
      </c>
      <c r="CF97" s="284">
        <f t="shared" si="88"/>
        <v>0</v>
      </c>
      <c r="CH97" s="222">
        <v>6716</v>
      </c>
      <c r="CI97" s="225" t="str">
        <f>IF($C97&gt;=Wirtschaftlichkeit!$O$8,Wirtschaftlichkeit!$O$8,IF(AND($C97&lt;=Wirtschaftlichkeit!$O$8,$C97&gt;=Wirtschaftlichkeit!$O$8*Eingabemaske!$B$18),$C97,"0"))</f>
        <v>0</v>
      </c>
      <c r="CJ97" s="222">
        <v>6716</v>
      </c>
      <c r="CK97" s="224">
        <f t="shared" si="89"/>
        <v>0</v>
      </c>
      <c r="CL97" s="222">
        <v>6716</v>
      </c>
      <c r="CM97" s="226" t="str">
        <f t="shared" si="132"/>
        <v xml:space="preserve"> </v>
      </c>
      <c r="CN97" s="312">
        <v>6716</v>
      </c>
      <c r="CO97" s="286">
        <f>CI97*Wirtschaftlichkeit!$O$5/Wirtschaftlichkeit!$O$7</f>
        <v>0</v>
      </c>
      <c r="CP97" s="284">
        <f t="shared" si="91"/>
        <v>0</v>
      </c>
      <c r="CR97" s="222">
        <v>6716</v>
      </c>
      <c r="CS97" s="225" t="str">
        <f>IF($C97&gt;=Wirtschaftlichkeit!$P$8,Wirtschaftlichkeit!$P$8,IF(AND($C97&lt;=Wirtschaftlichkeit!$P$8,$C97&gt;=Wirtschaftlichkeit!$P$8*Eingabemaske!$B$18),$C97,"0"))</f>
        <v>0</v>
      </c>
      <c r="CT97" s="222">
        <v>6716</v>
      </c>
      <c r="CU97" s="224">
        <f t="shared" si="92"/>
        <v>0</v>
      </c>
      <c r="CV97" s="222">
        <v>6716</v>
      </c>
      <c r="CW97" s="226" t="str">
        <f t="shared" si="133"/>
        <v xml:space="preserve"> </v>
      </c>
      <c r="CX97" s="312">
        <v>6716</v>
      </c>
      <c r="CY97" s="286">
        <f>CS97*Wirtschaftlichkeit!$P$5/Wirtschaftlichkeit!$P$7</f>
        <v>0</v>
      </c>
      <c r="CZ97" s="284">
        <f t="shared" si="94"/>
        <v>0</v>
      </c>
      <c r="DB97" s="222">
        <v>6716</v>
      </c>
      <c r="DC97" s="225" t="str">
        <f>IF($C97&gt;=Wirtschaftlichkeit!$Q$8,Wirtschaftlichkeit!$Q$8,IF(AND($C97&lt;=Wirtschaftlichkeit!$Q$8,$C97&gt;=Wirtschaftlichkeit!$Q$8*Eingabemaske!$B$18),$C97,"0"))</f>
        <v>0</v>
      </c>
      <c r="DD97" s="222">
        <v>6716</v>
      </c>
      <c r="DE97" s="224">
        <f t="shared" si="95"/>
        <v>0</v>
      </c>
      <c r="DF97" s="222">
        <v>6716</v>
      </c>
      <c r="DG97" s="226" t="str">
        <f t="shared" si="134"/>
        <v xml:space="preserve"> </v>
      </c>
      <c r="DH97" s="312">
        <v>6716</v>
      </c>
      <c r="DI97" s="286">
        <f>DC97*Wirtschaftlichkeit!$Q$5/Wirtschaftlichkeit!$Q$7</f>
        <v>0</v>
      </c>
      <c r="DJ97" s="284">
        <f t="shared" si="97"/>
        <v>0</v>
      </c>
      <c r="DL97" s="222">
        <v>6716</v>
      </c>
      <c r="DM97" s="225" t="str">
        <f>IF($C97&gt;=Wirtschaftlichkeit!$R$8,Wirtschaftlichkeit!$R$8,IF(AND($C97&lt;=Wirtschaftlichkeit!$R$8,$C97&gt;=Wirtschaftlichkeit!$R$8*Eingabemaske!$B$18),$C97,"0"))</f>
        <v>0</v>
      </c>
      <c r="DN97" s="222">
        <v>6716</v>
      </c>
      <c r="DO97" s="224">
        <f t="shared" si="98"/>
        <v>0</v>
      </c>
      <c r="DP97" s="222">
        <v>6716</v>
      </c>
      <c r="DQ97" s="226" t="str">
        <f t="shared" si="135"/>
        <v xml:space="preserve"> </v>
      </c>
      <c r="DR97" s="312">
        <v>6716</v>
      </c>
      <c r="DS97" s="286">
        <f>DM97*Wirtschaftlichkeit!$R$5/Wirtschaftlichkeit!$R$7</f>
        <v>0</v>
      </c>
      <c r="DT97" s="284">
        <f t="shared" si="100"/>
        <v>0</v>
      </c>
      <c r="DV97" s="222">
        <v>6716</v>
      </c>
      <c r="DW97" s="225" t="str">
        <f>IF($C97&gt;=Wirtschaftlichkeit!$S$8,Wirtschaftlichkeit!$S$8,IF(AND($C97&lt;=Wirtschaftlichkeit!$S$8,$C97&gt;=Wirtschaftlichkeit!$S$8*Eingabemaske!$B$18),$C97,"0"))</f>
        <v>0</v>
      </c>
      <c r="DX97" s="222">
        <v>6716</v>
      </c>
      <c r="DY97" s="224">
        <f t="shared" si="101"/>
        <v>0</v>
      </c>
      <c r="DZ97" s="222">
        <v>6716</v>
      </c>
      <c r="EA97" s="226" t="str">
        <f t="shared" si="136"/>
        <v xml:space="preserve"> </v>
      </c>
      <c r="EB97" s="312">
        <v>6716</v>
      </c>
      <c r="EC97" s="286">
        <f>DW97*Wirtschaftlichkeit!$S$5/Wirtschaftlichkeit!$S$7</f>
        <v>0</v>
      </c>
      <c r="ED97" s="284">
        <f t="shared" si="103"/>
        <v>0</v>
      </c>
      <c r="EF97" s="222">
        <v>6716</v>
      </c>
      <c r="EG97" s="225" t="str">
        <f>IF($C97&gt;=Wirtschaftlichkeit!$T$8,Wirtschaftlichkeit!$T$8,IF(AND($C97&lt;=Wirtschaftlichkeit!$T$8,$C97&gt;=Wirtschaftlichkeit!$T$8*Eingabemaske!$B$18),$C97,"0"))</f>
        <v>0</v>
      </c>
      <c r="EH97" s="222">
        <v>6716</v>
      </c>
      <c r="EI97" s="224">
        <f t="shared" si="104"/>
        <v>0</v>
      </c>
      <c r="EJ97" s="222">
        <v>6716</v>
      </c>
      <c r="EK97" s="226" t="str">
        <f t="shared" si="137"/>
        <v xml:space="preserve"> </v>
      </c>
      <c r="EL97" s="312">
        <v>6716</v>
      </c>
      <c r="EM97" s="286">
        <f>EG97*Wirtschaftlichkeit!$T$5/Wirtschaftlichkeit!$T$7</f>
        <v>0</v>
      </c>
      <c r="EN97" s="284">
        <f t="shared" si="106"/>
        <v>0</v>
      </c>
      <c r="EP97" s="222">
        <v>6716</v>
      </c>
      <c r="EQ97" s="225" t="str">
        <f>IF($C97&gt;=Wirtschaftlichkeit!$U$8,Wirtschaftlichkeit!$U$8,IF(AND($C97&lt;=Wirtschaftlichkeit!$U$8,$C97&gt;=Wirtschaftlichkeit!$U$8*Eingabemaske!$B$18),$C97,"0"))</f>
        <v>0</v>
      </c>
      <c r="ER97" s="222">
        <v>6716</v>
      </c>
      <c r="ES97" s="224">
        <f t="shared" si="107"/>
        <v>0</v>
      </c>
      <c r="ET97" s="222">
        <v>6716</v>
      </c>
      <c r="EU97" s="226" t="str">
        <f t="shared" si="138"/>
        <v xml:space="preserve"> </v>
      </c>
      <c r="EV97" s="312">
        <v>6716</v>
      </c>
      <c r="EW97" s="286">
        <f>EQ97*Wirtschaftlichkeit!$U$5/Wirtschaftlichkeit!$U$7</f>
        <v>0</v>
      </c>
      <c r="EX97" s="284">
        <f t="shared" si="109"/>
        <v>0</v>
      </c>
      <c r="EZ97" s="222">
        <v>6716</v>
      </c>
      <c r="FA97" s="225" t="str">
        <f>IF($C97&gt;=Wirtschaftlichkeit!$V$8,Wirtschaftlichkeit!$V$8,IF(AND($C97&lt;=Wirtschaftlichkeit!$V$8,$C97&gt;=Wirtschaftlichkeit!$V$8*Eingabemaske!$B$18),$C97,"0"))</f>
        <v>0</v>
      </c>
      <c r="FB97" s="222">
        <v>6716</v>
      </c>
      <c r="FC97" s="224">
        <f t="shared" si="110"/>
        <v>0</v>
      </c>
      <c r="FD97" s="222">
        <v>6716</v>
      </c>
      <c r="FE97" s="226" t="str">
        <f t="shared" si="139"/>
        <v xml:space="preserve"> </v>
      </c>
      <c r="FF97" s="312">
        <v>6716</v>
      </c>
      <c r="FG97" s="286">
        <f>FA97*Wirtschaftlichkeit!$V$5/Wirtschaftlichkeit!$V$7</f>
        <v>0</v>
      </c>
      <c r="FH97" s="284">
        <f t="shared" si="112"/>
        <v>0</v>
      </c>
      <c r="FJ97" s="222">
        <v>6716</v>
      </c>
      <c r="FK97" s="225" t="str">
        <f>IF($C97&gt;=Wirtschaftlichkeit!$W$8,Wirtschaftlichkeit!$W$8,IF(AND($C97&lt;=Wirtschaftlichkeit!$W$8,$C97&gt;=Wirtschaftlichkeit!$W$8*Eingabemaske!$B$18),$C97,"0"))</f>
        <v>0</v>
      </c>
      <c r="FL97" s="222">
        <v>6716</v>
      </c>
      <c r="FM97" s="224">
        <f t="shared" si="113"/>
        <v>0</v>
      </c>
      <c r="FN97" s="222">
        <v>6716</v>
      </c>
      <c r="FO97" s="226" t="str">
        <f t="shared" si="140"/>
        <v xml:space="preserve"> </v>
      </c>
      <c r="FP97" s="312">
        <v>6716</v>
      </c>
      <c r="FQ97" s="286">
        <f>FK97*Wirtschaftlichkeit!$W$5/Wirtschaftlichkeit!$W$7</f>
        <v>0</v>
      </c>
      <c r="FR97" s="284">
        <f t="shared" si="115"/>
        <v>0</v>
      </c>
      <c r="FT97" s="222">
        <v>6716</v>
      </c>
      <c r="FU97" s="225" t="str">
        <f>IF($C97&gt;=Wirtschaftlichkeit!$X$8,Wirtschaftlichkeit!$X$8,IF(AND($C97&lt;=Wirtschaftlichkeit!$X$8,$C97&gt;=Wirtschaftlichkeit!$X$8*Eingabemaske!$B$18),$C97,"0"))</f>
        <v>0</v>
      </c>
      <c r="FV97" s="222">
        <v>6716</v>
      </c>
      <c r="FW97" s="224">
        <f t="shared" si="116"/>
        <v>0</v>
      </c>
      <c r="FX97" s="222">
        <v>6716</v>
      </c>
      <c r="FY97" s="226" t="str">
        <f t="shared" si="141"/>
        <v xml:space="preserve"> </v>
      </c>
      <c r="FZ97" s="312">
        <v>6716</v>
      </c>
      <c r="GA97" s="286">
        <f>FU97*Wirtschaftlichkeit!$X$5/Wirtschaftlichkeit!$X$7</f>
        <v>0</v>
      </c>
      <c r="GB97" s="284">
        <f t="shared" si="118"/>
        <v>0</v>
      </c>
      <c r="GD97" s="222">
        <v>6716</v>
      </c>
      <c r="GE97" s="225" t="str">
        <f>IF($C97&gt;=Wirtschaftlichkeit!$Y$8,Wirtschaftlichkeit!$Y$8,IF(AND($C97&lt;=Wirtschaftlichkeit!$Y$8,$C97&gt;=Wirtschaftlichkeit!$Y$8*Eingabemaske!$B$18),$C97,"0"))</f>
        <v>0</v>
      </c>
      <c r="GF97" s="222">
        <v>6716</v>
      </c>
      <c r="GG97" s="224">
        <f t="shared" si="119"/>
        <v>0</v>
      </c>
      <c r="GH97" s="222">
        <v>6716</v>
      </c>
      <c r="GI97" s="226" t="str">
        <f t="shared" si="142"/>
        <v xml:space="preserve"> </v>
      </c>
      <c r="GJ97" s="312">
        <v>6716</v>
      </c>
      <c r="GK97" s="286">
        <f>GE97*Wirtschaftlichkeit!$Y$5/Wirtschaftlichkeit!$Y$7</f>
        <v>0</v>
      </c>
      <c r="GL97" s="284">
        <f t="shared" si="121"/>
        <v>0</v>
      </c>
      <c r="GN97" s="222">
        <v>6716</v>
      </c>
      <c r="GO97" s="225" t="str">
        <f>IF($C97&gt;=Wirtschaftlichkeit!$Z$8,Wirtschaftlichkeit!$Z$8,IF(AND($C97&lt;=Wirtschaftlichkeit!$Z$8,$C97&gt;=Wirtschaftlichkeit!$Z$8*Eingabemaske!$B$18),$C97,"0"))</f>
        <v>0</v>
      </c>
      <c r="GP97" s="222">
        <v>6716</v>
      </c>
      <c r="GQ97" s="224">
        <f t="shared" si="122"/>
        <v>0</v>
      </c>
      <c r="GR97" s="222">
        <v>6716</v>
      </c>
      <c r="GS97" s="226" t="str">
        <f t="shared" si="143"/>
        <v xml:space="preserve"> </v>
      </c>
      <c r="GT97" s="312">
        <v>6716</v>
      </c>
      <c r="GU97" s="286">
        <f>GO97*Wirtschaftlichkeit!$Z$5/Wirtschaftlichkeit!$Z$7</f>
        <v>0</v>
      </c>
      <c r="GV97" s="284">
        <f t="shared" si="124"/>
        <v>0</v>
      </c>
      <c r="GW97" s="266"/>
      <c r="GX97" s="258">
        <v>6716</v>
      </c>
      <c r="GY97" s="270" t="str">
        <f>IF(Berechnung_Diagramme!$C$28=Berechnungen_Lastgang!$F$2,Berechnungen_Lastgang!G97,IF(Berechnung_Diagramme!$C$28=Berechnungen_Lastgang!$P$2,Berechnungen_Lastgang!Q97,IF(Berechnung_Diagramme!$C$28=Berechnungen_Lastgang!$Z$2,Berechnungen_Lastgang!AA97,IF(Berechnung_Diagramme!$C$28=Berechnungen_Lastgang!$AJ$2,Berechnungen_Lastgang!AK97,IF(Berechnung_Diagramme!$C$28=Berechnungen_Lastgang!$AT$2,Berechnungen_Lastgang!AU97,IF(Berechnung_Diagramme!$C$28=Berechnungen_Lastgang!$BD$2,Berechnungen_Lastgang!BE97,IF(Berechnung_Diagramme!$C$28=Berechnungen_Lastgang!$BN$2,Berechnungen_Lastgang!BO97,IF(Berechnung_Diagramme!$C$28=Berechnungen_Lastgang!$BX$2,Berechnungen_Lastgang!BY97,IF(Berechnung_Diagramme!$C$28=Berechnungen_Lastgang!$CH$2,Berechnungen_Lastgang!CI97,IF(Berechnung_Diagramme!$C$28=Berechnungen_Lastgang!$CR$2,Berechnungen_Lastgang!CS97,IF(Berechnung_Diagramme!$C$28=Berechnungen_Lastgang!$DB$2,Berechnungen_Lastgang!DC97,IF(Berechnung_Diagramme!$C$28=Berechnungen_Lastgang!$DL$2,Berechnungen_Lastgang!DM97,IF(Berechnung_Diagramme!$C$28=Berechnungen_Lastgang!$DV$2,Berechnungen_Lastgang!DW97,IF(Berechnung_Diagramme!$C$28=Berechnungen_Lastgang!$EF$2,Berechnungen_Lastgang!EG97,IF(Berechnung_Diagramme!$C$28=Berechnungen_Lastgang!$EP$2,Berechnungen_Lastgang!EQ97,IF(Berechnung_Diagramme!$C$28=Berechnungen_Lastgang!$EZ$2,Berechnungen_Lastgang!FA97,IF(Berechnung_Diagramme!$C$28=Berechnungen_Lastgang!$FJ$2,Berechnungen_Lastgang!FK97,IF(Berechnung_Diagramme!$C$28=Berechnungen_Lastgang!$FT$2,Berechnungen_Lastgang!FU97,IF(Berechnung_Diagramme!$C$28=Berechnungen_Lastgang!$GD$2,Berechnungen_Lastgang!GE97,IF(Berechnung_Diagramme!$C$28=Berechnungen_Lastgang!$GN$2,Berechnungen_Lastgang!GO97,""))))))))))))))))))))</f>
        <v>0</v>
      </c>
    </row>
    <row r="98" spans="2:207" x14ac:dyDescent="0.25">
      <c r="B98" s="64">
        <v>6789</v>
      </c>
      <c r="C98" s="67">
        <f>C97+((C100-C97)/(B100-B97))*(B98-B97)</f>
        <v>3.67218</v>
      </c>
      <c r="D98" s="66">
        <f t="shared" si="64"/>
        <v>262.62918000000002</v>
      </c>
      <c r="F98" s="64">
        <v>6789</v>
      </c>
      <c r="G98" s="225">
        <f>IF($C98&gt;=Wirtschaftlichkeit!$G$8,Wirtschaftlichkeit!$G$8,IF(AND($C98&lt;=Wirtschaftlichkeit!$G$8,$C98&gt;=Wirtschaftlichkeit!$G$8*Eingabemaske!$B$18),$C98,"0"))</f>
        <v>2.8333333333333335</v>
      </c>
      <c r="H98" s="64">
        <v>6789</v>
      </c>
      <c r="I98" s="66">
        <f t="shared" si="65"/>
        <v>206.83333333333334</v>
      </c>
      <c r="J98" s="64">
        <v>6789</v>
      </c>
      <c r="K98" s="71">
        <f t="shared" si="66"/>
        <v>2.8333333333333335</v>
      </c>
      <c r="L98" s="312">
        <v>6789</v>
      </c>
      <c r="M98" s="286">
        <f>G98*Wirtschaftlichkeit!$G$5/Wirtschaftlichkeit!$G$7</f>
        <v>1</v>
      </c>
      <c r="N98" s="284">
        <f t="shared" si="67"/>
        <v>73</v>
      </c>
      <c r="P98" s="222">
        <v>6789</v>
      </c>
      <c r="Q98" s="225">
        <f>IF($C98&gt;=Wirtschaftlichkeit!$H$8,Wirtschaftlichkeit!$H$8,IF(AND($C98&lt;=Wirtschaftlichkeit!$H$8,$C98&gt;=Wirtschaftlichkeit!$H$8*Eingabemaske!$B$18),$C98,"0"))</f>
        <v>3.67218</v>
      </c>
      <c r="R98" s="222">
        <v>6789</v>
      </c>
      <c r="S98" s="224">
        <f t="shared" si="68"/>
        <v>262.62918000000002</v>
      </c>
      <c r="T98" s="222">
        <v>6789</v>
      </c>
      <c r="U98" s="226">
        <f t="shared" si="125"/>
        <v>3.67218</v>
      </c>
      <c r="V98" s="312">
        <v>6789</v>
      </c>
      <c r="W98" s="286">
        <f>Q98*Wirtschaftlichkeit!$H$5/Wirtschaftlichkeit!$H$7</f>
        <v>1.3143965313653136</v>
      </c>
      <c r="X98" s="284">
        <f t="shared" si="70"/>
        <v>94.003802435424362</v>
      </c>
      <c r="Z98" s="222">
        <v>6789</v>
      </c>
      <c r="AA98" s="225" t="str">
        <f>IF($C98&gt;=Wirtschaftlichkeit!$I$8,Wirtschaftlichkeit!$I$8,IF(AND($C98&lt;=Wirtschaftlichkeit!$I$8,$C98&gt;=Wirtschaftlichkeit!$I$8*Eingabemaske!$B$18),$C98,"0"))</f>
        <v>0</v>
      </c>
      <c r="AB98" s="222">
        <v>6789</v>
      </c>
      <c r="AC98" s="224">
        <f t="shared" si="71"/>
        <v>0</v>
      </c>
      <c r="AD98" s="222">
        <v>6789</v>
      </c>
      <c r="AE98" s="226" t="str">
        <f t="shared" si="126"/>
        <v xml:space="preserve"> </v>
      </c>
      <c r="AF98" s="312">
        <v>6789</v>
      </c>
      <c r="AG98" s="286">
        <f>AA98*Wirtschaftlichkeit!$I$5/Wirtschaftlichkeit!$I$7</f>
        <v>0</v>
      </c>
      <c r="AH98" s="284">
        <f t="shared" si="73"/>
        <v>0</v>
      </c>
      <c r="AJ98" s="222">
        <v>6789</v>
      </c>
      <c r="AK98" s="225" t="str">
        <f>IF($C98&gt;=Wirtschaftlichkeit!$J$8,Wirtschaftlichkeit!$J$8,IF(AND($C98&lt;=Wirtschaftlichkeit!$J$8,$C98&gt;=Wirtschaftlichkeit!$J$8*Eingabemaske!$B$18),$C98,"0"))</f>
        <v>0</v>
      </c>
      <c r="AL98" s="222">
        <v>6789</v>
      </c>
      <c r="AM98" s="224">
        <f t="shared" si="74"/>
        <v>0</v>
      </c>
      <c r="AN98" s="222">
        <v>6789</v>
      </c>
      <c r="AO98" s="226" t="str">
        <f t="shared" si="127"/>
        <v xml:space="preserve"> </v>
      </c>
      <c r="AP98" s="312">
        <v>6789</v>
      </c>
      <c r="AQ98" s="286">
        <f>AK98*Wirtschaftlichkeit!$J$5/Wirtschaftlichkeit!$J$7</f>
        <v>0</v>
      </c>
      <c r="AR98" s="284">
        <f t="shared" si="76"/>
        <v>0</v>
      </c>
      <c r="AT98" s="222">
        <v>6789</v>
      </c>
      <c r="AU98" s="225" t="str">
        <f>IF($C98&gt;=Wirtschaftlichkeit!$K$8,Wirtschaftlichkeit!$K$8,IF(AND($C98&lt;=Wirtschaftlichkeit!$K$8,$C98&gt;=Wirtschaftlichkeit!$K$8*Eingabemaske!$B$18),$C98,"0"))</f>
        <v>0</v>
      </c>
      <c r="AV98" s="222">
        <v>6789</v>
      </c>
      <c r="AW98" s="224">
        <f t="shared" si="77"/>
        <v>0</v>
      </c>
      <c r="AX98" s="222">
        <v>6789</v>
      </c>
      <c r="AY98" s="226" t="str">
        <f t="shared" si="128"/>
        <v xml:space="preserve"> </v>
      </c>
      <c r="AZ98" s="312">
        <v>6789</v>
      </c>
      <c r="BA98" s="286">
        <f>AU98*Wirtschaftlichkeit!$K$5/Wirtschaftlichkeit!$K$7</f>
        <v>0</v>
      </c>
      <c r="BB98" s="284">
        <f t="shared" si="79"/>
        <v>0</v>
      </c>
      <c r="BD98" s="222">
        <v>6789</v>
      </c>
      <c r="BE98" s="225" t="str">
        <f>IF($C98&gt;=Wirtschaftlichkeit!$L$8,Wirtschaftlichkeit!$L$8,IF(AND($C98&lt;=Wirtschaftlichkeit!$L$8,$C98&gt;=Wirtschaftlichkeit!$L$8*Eingabemaske!$B$18),$C98,"0"))</f>
        <v>0</v>
      </c>
      <c r="BF98" s="222">
        <v>6789</v>
      </c>
      <c r="BG98" s="224">
        <f t="shared" si="80"/>
        <v>0</v>
      </c>
      <c r="BH98" s="222">
        <v>6789</v>
      </c>
      <c r="BI98" s="226" t="str">
        <f t="shared" si="129"/>
        <v xml:space="preserve"> </v>
      </c>
      <c r="BJ98" s="312">
        <v>6789</v>
      </c>
      <c r="BK98" s="286">
        <f>BE98*Wirtschaftlichkeit!$L$5/Wirtschaftlichkeit!$L$7</f>
        <v>0</v>
      </c>
      <c r="BL98" s="284">
        <f t="shared" si="82"/>
        <v>0</v>
      </c>
      <c r="BN98" s="222">
        <v>6789</v>
      </c>
      <c r="BO98" s="225" t="str">
        <f>IF($C98&gt;=Wirtschaftlichkeit!$M$8,Wirtschaftlichkeit!$M$8,IF(AND($C98&lt;=Wirtschaftlichkeit!$M$8,$C98&gt;=Wirtschaftlichkeit!$M$8*Eingabemaske!$B$18),$C98,"0"))</f>
        <v>0</v>
      </c>
      <c r="BP98" s="222">
        <v>6789</v>
      </c>
      <c r="BQ98" s="224">
        <f t="shared" si="83"/>
        <v>0</v>
      </c>
      <c r="BR98" s="222">
        <v>6789</v>
      </c>
      <c r="BS98" s="226" t="str">
        <f t="shared" si="130"/>
        <v xml:space="preserve"> </v>
      </c>
      <c r="BT98" s="312">
        <v>6789</v>
      </c>
      <c r="BU98" s="286">
        <f>BO98*Wirtschaftlichkeit!$M$5/Wirtschaftlichkeit!$M$7</f>
        <v>0</v>
      </c>
      <c r="BV98" s="284">
        <f t="shared" si="85"/>
        <v>0</v>
      </c>
      <c r="BX98" s="222">
        <v>6789</v>
      </c>
      <c r="BY98" s="225" t="str">
        <f>IF($C98&gt;=Wirtschaftlichkeit!$N$8,Wirtschaftlichkeit!$N$8,IF(AND($C98&lt;=Wirtschaftlichkeit!$N$8,$C98&gt;=Wirtschaftlichkeit!$N$8*Eingabemaske!$B$18),$C98,"0"))</f>
        <v>0</v>
      </c>
      <c r="BZ98" s="222">
        <v>6789</v>
      </c>
      <c r="CA98" s="224">
        <f t="shared" si="86"/>
        <v>0</v>
      </c>
      <c r="CB98" s="222">
        <v>6789</v>
      </c>
      <c r="CC98" s="226" t="str">
        <f t="shared" si="131"/>
        <v xml:space="preserve"> </v>
      </c>
      <c r="CD98" s="312">
        <v>6789</v>
      </c>
      <c r="CE98" s="286">
        <f>BY98*Wirtschaftlichkeit!$N$5/Wirtschaftlichkeit!$N$7</f>
        <v>0</v>
      </c>
      <c r="CF98" s="284">
        <f t="shared" si="88"/>
        <v>0</v>
      </c>
      <c r="CH98" s="222">
        <v>6789</v>
      </c>
      <c r="CI98" s="225" t="str">
        <f>IF($C98&gt;=Wirtschaftlichkeit!$O$8,Wirtschaftlichkeit!$O$8,IF(AND($C98&lt;=Wirtschaftlichkeit!$O$8,$C98&gt;=Wirtschaftlichkeit!$O$8*Eingabemaske!$B$18),$C98,"0"))</f>
        <v>0</v>
      </c>
      <c r="CJ98" s="222">
        <v>6789</v>
      </c>
      <c r="CK98" s="224">
        <f t="shared" si="89"/>
        <v>0</v>
      </c>
      <c r="CL98" s="222">
        <v>6789</v>
      </c>
      <c r="CM98" s="226" t="str">
        <f t="shared" si="132"/>
        <v xml:space="preserve"> </v>
      </c>
      <c r="CN98" s="312">
        <v>6789</v>
      </c>
      <c r="CO98" s="286">
        <f>CI98*Wirtschaftlichkeit!$O$5/Wirtschaftlichkeit!$O$7</f>
        <v>0</v>
      </c>
      <c r="CP98" s="284">
        <f t="shared" si="91"/>
        <v>0</v>
      </c>
      <c r="CR98" s="222">
        <v>6789</v>
      </c>
      <c r="CS98" s="225" t="str">
        <f>IF($C98&gt;=Wirtschaftlichkeit!$P$8,Wirtschaftlichkeit!$P$8,IF(AND($C98&lt;=Wirtschaftlichkeit!$P$8,$C98&gt;=Wirtschaftlichkeit!$P$8*Eingabemaske!$B$18),$C98,"0"))</f>
        <v>0</v>
      </c>
      <c r="CT98" s="222">
        <v>6789</v>
      </c>
      <c r="CU98" s="224">
        <f t="shared" si="92"/>
        <v>0</v>
      </c>
      <c r="CV98" s="222">
        <v>6789</v>
      </c>
      <c r="CW98" s="226" t="str">
        <f t="shared" si="133"/>
        <v xml:space="preserve"> </v>
      </c>
      <c r="CX98" s="312">
        <v>6789</v>
      </c>
      <c r="CY98" s="286">
        <f>CS98*Wirtschaftlichkeit!$P$5/Wirtschaftlichkeit!$P$7</f>
        <v>0</v>
      </c>
      <c r="CZ98" s="284">
        <f t="shared" si="94"/>
        <v>0</v>
      </c>
      <c r="DB98" s="222">
        <v>6789</v>
      </c>
      <c r="DC98" s="225" t="str">
        <f>IF($C98&gt;=Wirtschaftlichkeit!$Q$8,Wirtschaftlichkeit!$Q$8,IF(AND($C98&lt;=Wirtschaftlichkeit!$Q$8,$C98&gt;=Wirtschaftlichkeit!$Q$8*Eingabemaske!$B$18),$C98,"0"))</f>
        <v>0</v>
      </c>
      <c r="DD98" s="222">
        <v>6789</v>
      </c>
      <c r="DE98" s="224">
        <f t="shared" si="95"/>
        <v>0</v>
      </c>
      <c r="DF98" s="222">
        <v>6789</v>
      </c>
      <c r="DG98" s="226" t="str">
        <f t="shared" si="134"/>
        <v xml:space="preserve"> </v>
      </c>
      <c r="DH98" s="312">
        <v>6789</v>
      </c>
      <c r="DI98" s="286">
        <f>DC98*Wirtschaftlichkeit!$Q$5/Wirtschaftlichkeit!$Q$7</f>
        <v>0</v>
      </c>
      <c r="DJ98" s="284">
        <f t="shared" si="97"/>
        <v>0</v>
      </c>
      <c r="DL98" s="222">
        <v>6789</v>
      </c>
      <c r="DM98" s="225" t="str">
        <f>IF($C98&gt;=Wirtschaftlichkeit!$R$8,Wirtschaftlichkeit!$R$8,IF(AND($C98&lt;=Wirtschaftlichkeit!$R$8,$C98&gt;=Wirtschaftlichkeit!$R$8*Eingabemaske!$B$18),$C98,"0"))</f>
        <v>0</v>
      </c>
      <c r="DN98" s="222">
        <v>6789</v>
      </c>
      <c r="DO98" s="224">
        <f t="shared" si="98"/>
        <v>0</v>
      </c>
      <c r="DP98" s="222">
        <v>6789</v>
      </c>
      <c r="DQ98" s="226" t="str">
        <f t="shared" si="135"/>
        <v xml:space="preserve"> </v>
      </c>
      <c r="DR98" s="312">
        <v>6789</v>
      </c>
      <c r="DS98" s="286">
        <f>DM98*Wirtschaftlichkeit!$R$5/Wirtschaftlichkeit!$R$7</f>
        <v>0</v>
      </c>
      <c r="DT98" s="284">
        <f t="shared" si="100"/>
        <v>0</v>
      </c>
      <c r="DV98" s="222">
        <v>6789</v>
      </c>
      <c r="DW98" s="225" t="str">
        <f>IF($C98&gt;=Wirtschaftlichkeit!$S$8,Wirtschaftlichkeit!$S$8,IF(AND($C98&lt;=Wirtschaftlichkeit!$S$8,$C98&gt;=Wirtschaftlichkeit!$S$8*Eingabemaske!$B$18),$C98,"0"))</f>
        <v>0</v>
      </c>
      <c r="DX98" s="222">
        <v>6789</v>
      </c>
      <c r="DY98" s="224">
        <f t="shared" si="101"/>
        <v>0</v>
      </c>
      <c r="DZ98" s="222">
        <v>6789</v>
      </c>
      <c r="EA98" s="226" t="str">
        <f t="shared" si="136"/>
        <v xml:space="preserve"> </v>
      </c>
      <c r="EB98" s="312">
        <v>6789</v>
      </c>
      <c r="EC98" s="286">
        <f>DW98*Wirtschaftlichkeit!$S$5/Wirtschaftlichkeit!$S$7</f>
        <v>0</v>
      </c>
      <c r="ED98" s="284">
        <f t="shared" si="103"/>
        <v>0</v>
      </c>
      <c r="EF98" s="222">
        <v>6789</v>
      </c>
      <c r="EG98" s="225" t="str">
        <f>IF($C98&gt;=Wirtschaftlichkeit!$T$8,Wirtschaftlichkeit!$T$8,IF(AND($C98&lt;=Wirtschaftlichkeit!$T$8,$C98&gt;=Wirtschaftlichkeit!$T$8*Eingabemaske!$B$18),$C98,"0"))</f>
        <v>0</v>
      </c>
      <c r="EH98" s="222">
        <v>6789</v>
      </c>
      <c r="EI98" s="224">
        <f t="shared" si="104"/>
        <v>0</v>
      </c>
      <c r="EJ98" s="222">
        <v>6789</v>
      </c>
      <c r="EK98" s="226" t="str">
        <f t="shared" si="137"/>
        <v xml:space="preserve"> </v>
      </c>
      <c r="EL98" s="312">
        <v>6789</v>
      </c>
      <c r="EM98" s="286">
        <f>EG98*Wirtschaftlichkeit!$T$5/Wirtschaftlichkeit!$T$7</f>
        <v>0</v>
      </c>
      <c r="EN98" s="284">
        <f t="shared" si="106"/>
        <v>0</v>
      </c>
      <c r="EP98" s="222">
        <v>6789</v>
      </c>
      <c r="EQ98" s="225" t="str">
        <f>IF($C98&gt;=Wirtschaftlichkeit!$U$8,Wirtschaftlichkeit!$U$8,IF(AND($C98&lt;=Wirtschaftlichkeit!$U$8,$C98&gt;=Wirtschaftlichkeit!$U$8*Eingabemaske!$B$18),$C98,"0"))</f>
        <v>0</v>
      </c>
      <c r="ER98" s="222">
        <v>6789</v>
      </c>
      <c r="ES98" s="224">
        <f t="shared" si="107"/>
        <v>0</v>
      </c>
      <c r="ET98" s="222">
        <v>6789</v>
      </c>
      <c r="EU98" s="226" t="str">
        <f t="shared" si="138"/>
        <v xml:space="preserve"> </v>
      </c>
      <c r="EV98" s="312">
        <v>6789</v>
      </c>
      <c r="EW98" s="286">
        <f>EQ98*Wirtschaftlichkeit!$U$5/Wirtschaftlichkeit!$U$7</f>
        <v>0</v>
      </c>
      <c r="EX98" s="284">
        <f t="shared" si="109"/>
        <v>0</v>
      </c>
      <c r="EZ98" s="222">
        <v>6789</v>
      </c>
      <c r="FA98" s="225" t="str">
        <f>IF($C98&gt;=Wirtschaftlichkeit!$V$8,Wirtschaftlichkeit!$V$8,IF(AND($C98&lt;=Wirtschaftlichkeit!$V$8,$C98&gt;=Wirtschaftlichkeit!$V$8*Eingabemaske!$B$18),$C98,"0"))</f>
        <v>0</v>
      </c>
      <c r="FB98" s="222">
        <v>6789</v>
      </c>
      <c r="FC98" s="224">
        <f t="shared" si="110"/>
        <v>0</v>
      </c>
      <c r="FD98" s="222">
        <v>6789</v>
      </c>
      <c r="FE98" s="226" t="str">
        <f t="shared" si="139"/>
        <v xml:space="preserve"> </v>
      </c>
      <c r="FF98" s="312">
        <v>6789</v>
      </c>
      <c r="FG98" s="286">
        <f>FA98*Wirtschaftlichkeit!$V$5/Wirtschaftlichkeit!$V$7</f>
        <v>0</v>
      </c>
      <c r="FH98" s="284">
        <f t="shared" si="112"/>
        <v>0</v>
      </c>
      <c r="FJ98" s="222">
        <v>6789</v>
      </c>
      <c r="FK98" s="225" t="str">
        <f>IF($C98&gt;=Wirtschaftlichkeit!$W$8,Wirtschaftlichkeit!$W$8,IF(AND($C98&lt;=Wirtschaftlichkeit!$W$8,$C98&gt;=Wirtschaftlichkeit!$W$8*Eingabemaske!$B$18),$C98,"0"))</f>
        <v>0</v>
      </c>
      <c r="FL98" s="222">
        <v>6789</v>
      </c>
      <c r="FM98" s="224">
        <f t="shared" si="113"/>
        <v>0</v>
      </c>
      <c r="FN98" s="222">
        <v>6789</v>
      </c>
      <c r="FO98" s="226" t="str">
        <f t="shared" si="140"/>
        <v xml:space="preserve"> </v>
      </c>
      <c r="FP98" s="312">
        <v>6789</v>
      </c>
      <c r="FQ98" s="286">
        <f>FK98*Wirtschaftlichkeit!$W$5/Wirtschaftlichkeit!$W$7</f>
        <v>0</v>
      </c>
      <c r="FR98" s="284">
        <f t="shared" si="115"/>
        <v>0</v>
      </c>
      <c r="FT98" s="222">
        <v>6789</v>
      </c>
      <c r="FU98" s="225" t="str">
        <f>IF($C98&gt;=Wirtschaftlichkeit!$X$8,Wirtschaftlichkeit!$X$8,IF(AND($C98&lt;=Wirtschaftlichkeit!$X$8,$C98&gt;=Wirtschaftlichkeit!$X$8*Eingabemaske!$B$18),$C98,"0"))</f>
        <v>0</v>
      </c>
      <c r="FV98" s="222">
        <v>6789</v>
      </c>
      <c r="FW98" s="224">
        <f t="shared" si="116"/>
        <v>0</v>
      </c>
      <c r="FX98" s="222">
        <v>6789</v>
      </c>
      <c r="FY98" s="226" t="str">
        <f t="shared" si="141"/>
        <v xml:space="preserve"> </v>
      </c>
      <c r="FZ98" s="312">
        <v>6789</v>
      </c>
      <c r="GA98" s="286">
        <f>FU98*Wirtschaftlichkeit!$X$5/Wirtschaftlichkeit!$X$7</f>
        <v>0</v>
      </c>
      <c r="GB98" s="284">
        <f t="shared" si="118"/>
        <v>0</v>
      </c>
      <c r="GD98" s="222">
        <v>6789</v>
      </c>
      <c r="GE98" s="225" t="str">
        <f>IF($C98&gt;=Wirtschaftlichkeit!$Y$8,Wirtschaftlichkeit!$Y$8,IF(AND($C98&lt;=Wirtschaftlichkeit!$Y$8,$C98&gt;=Wirtschaftlichkeit!$Y$8*Eingabemaske!$B$18),$C98,"0"))</f>
        <v>0</v>
      </c>
      <c r="GF98" s="222">
        <v>6789</v>
      </c>
      <c r="GG98" s="224">
        <f t="shared" si="119"/>
        <v>0</v>
      </c>
      <c r="GH98" s="222">
        <v>6789</v>
      </c>
      <c r="GI98" s="226" t="str">
        <f t="shared" si="142"/>
        <v xml:space="preserve"> </v>
      </c>
      <c r="GJ98" s="312">
        <v>6789</v>
      </c>
      <c r="GK98" s="286">
        <f>GE98*Wirtschaftlichkeit!$Y$5/Wirtschaftlichkeit!$Y$7</f>
        <v>0</v>
      </c>
      <c r="GL98" s="284">
        <f t="shared" si="121"/>
        <v>0</v>
      </c>
      <c r="GN98" s="222">
        <v>6789</v>
      </c>
      <c r="GO98" s="225" t="str">
        <f>IF($C98&gt;=Wirtschaftlichkeit!$Z$8,Wirtschaftlichkeit!$Z$8,IF(AND($C98&lt;=Wirtschaftlichkeit!$Z$8,$C98&gt;=Wirtschaftlichkeit!$Z$8*Eingabemaske!$B$18),$C98,"0"))</f>
        <v>0</v>
      </c>
      <c r="GP98" s="222">
        <v>6789</v>
      </c>
      <c r="GQ98" s="224">
        <f t="shared" si="122"/>
        <v>0</v>
      </c>
      <c r="GR98" s="222">
        <v>6789</v>
      </c>
      <c r="GS98" s="226" t="str">
        <f t="shared" si="143"/>
        <v xml:space="preserve"> </v>
      </c>
      <c r="GT98" s="312">
        <v>6789</v>
      </c>
      <c r="GU98" s="286">
        <f>GO98*Wirtschaftlichkeit!$Z$5/Wirtschaftlichkeit!$Z$7</f>
        <v>0</v>
      </c>
      <c r="GV98" s="284">
        <f t="shared" si="124"/>
        <v>0</v>
      </c>
      <c r="GW98" s="266"/>
      <c r="GX98" s="258">
        <v>6789</v>
      </c>
      <c r="GY98" s="270" t="str">
        <f>IF(Berechnung_Diagramme!$C$28=Berechnungen_Lastgang!$F$2,Berechnungen_Lastgang!G98,IF(Berechnung_Diagramme!$C$28=Berechnungen_Lastgang!$P$2,Berechnungen_Lastgang!Q98,IF(Berechnung_Diagramme!$C$28=Berechnungen_Lastgang!$Z$2,Berechnungen_Lastgang!AA98,IF(Berechnung_Diagramme!$C$28=Berechnungen_Lastgang!$AJ$2,Berechnungen_Lastgang!AK98,IF(Berechnung_Diagramme!$C$28=Berechnungen_Lastgang!$AT$2,Berechnungen_Lastgang!AU98,IF(Berechnung_Diagramme!$C$28=Berechnungen_Lastgang!$BD$2,Berechnungen_Lastgang!BE98,IF(Berechnung_Diagramme!$C$28=Berechnungen_Lastgang!$BN$2,Berechnungen_Lastgang!BO98,IF(Berechnung_Diagramme!$C$28=Berechnungen_Lastgang!$BX$2,Berechnungen_Lastgang!BY98,IF(Berechnung_Diagramme!$C$28=Berechnungen_Lastgang!$CH$2,Berechnungen_Lastgang!CI98,IF(Berechnung_Diagramme!$C$28=Berechnungen_Lastgang!$CR$2,Berechnungen_Lastgang!CS98,IF(Berechnung_Diagramme!$C$28=Berechnungen_Lastgang!$DB$2,Berechnungen_Lastgang!DC98,IF(Berechnung_Diagramme!$C$28=Berechnungen_Lastgang!$DL$2,Berechnungen_Lastgang!DM98,IF(Berechnung_Diagramme!$C$28=Berechnungen_Lastgang!$DV$2,Berechnungen_Lastgang!DW98,IF(Berechnung_Diagramme!$C$28=Berechnungen_Lastgang!$EF$2,Berechnungen_Lastgang!EG98,IF(Berechnung_Diagramme!$C$28=Berechnungen_Lastgang!$EP$2,Berechnungen_Lastgang!EQ98,IF(Berechnung_Diagramme!$C$28=Berechnungen_Lastgang!$EZ$2,Berechnungen_Lastgang!FA98,IF(Berechnung_Diagramme!$C$28=Berechnungen_Lastgang!$FJ$2,Berechnungen_Lastgang!FK98,IF(Berechnung_Diagramme!$C$28=Berechnungen_Lastgang!$FT$2,Berechnungen_Lastgang!FU98,IF(Berechnung_Diagramme!$C$28=Berechnungen_Lastgang!$GD$2,Berechnungen_Lastgang!GE98,IF(Berechnung_Diagramme!$C$28=Berechnungen_Lastgang!$GN$2,Berechnungen_Lastgang!GO98,""))))))))))))))))))))</f>
        <v>0</v>
      </c>
    </row>
    <row r="99" spans="2:207" x14ac:dyDescent="0.25">
      <c r="B99" s="64">
        <v>6862</v>
      </c>
      <c r="C99" s="67">
        <f>C98+((C100-C98)/(B100-B98))*(B99-B98)</f>
        <v>3.5231400000000002</v>
      </c>
      <c r="D99" s="66">
        <f t="shared" si="64"/>
        <v>251.74925999999999</v>
      </c>
      <c r="F99" s="64">
        <v>6862</v>
      </c>
      <c r="G99" s="225">
        <f>IF($C99&gt;=Wirtschaftlichkeit!$G$8,Wirtschaftlichkeit!$G$8,IF(AND($C99&lt;=Wirtschaftlichkeit!$G$8,$C99&gt;=Wirtschaftlichkeit!$G$8*Eingabemaske!$B$18),$C99,"0"))</f>
        <v>2.8333333333333335</v>
      </c>
      <c r="H99" s="64">
        <v>6862</v>
      </c>
      <c r="I99" s="66">
        <f t="shared" si="65"/>
        <v>206.83333333333334</v>
      </c>
      <c r="J99" s="64">
        <v>6862</v>
      </c>
      <c r="K99" s="71">
        <f t="shared" si="66"/>
        <v>2.8333333333333335</v>
      </c>
      <c r="L99" s="312">
        <v>6862</v>
      </c>
      <c r="M99" s="286">
        <f>G99*Wirtschaftlichkeit!$G$5/Wirtschaftlichkeit!$G$7</f>
        <v>1</v>
      </c>
      <c r="N99" s="284">
        <f t="shared" si="67"/>
        <v>73</v>
      </c>
      <c r="P99" s="222">
        <v>6862</v>
      </c>
      <c r="Q99" s="225">
        <f>IF($C99&gt;=Wirtschaftlichkeit!$H$8,Wirtschaftlichkeit!$H$8,IF(AND($C99&lt;=Wirtschaftlichkeit!$H$8,$C99&gt;=Wirtschaftlichkeit!$H$8*Eingabemaske!$B$18),$C99,"0"))</f>
        <v>3.5231400000000002</v>
      </c>
      <c r="R99" s="222">
        <v>6862</v>
      </c>
      <c r="S99" s="224">
        <f t="shared" si="68"/>
        <v>251.74925999999999</v>
      </c>
      <c r="T99" s="222">
        <v>6862</v>
      </c>
      <c r="U99" s="226">
        <f t="shared" si="125"/>
        <v>3.5231400000000002</v>
      </c>
      <c r="V99" s="312">
        <v>6862</v>
      </c>
      <c r="W99" s="286">
        <f>Q99*Wirtschaftlichkeit!$H$5/Wirtschaftlichkeit!$H$7</f>
        <v>1.261050110701107</v>
      </c>
      <c r="X99" s="284">
        <f t="shared" si="70"/>
        <v>90.109513726937251</v>
      </c>
      <c r="Z99" s="222">
        <v>6862</v>
      </c>
      <c r="AA99" s="225" t="str">
        <f>IF($C99&gt;=Wirtschaftlichkeit!$I$8,Wirtschaftlichkeit!$I$8,IF(AND($C99&lt;=Wirtschaftlichkeit!$I$8,$C99&gt;=Wirtschaftlichkeit!$I$8*Eingabemaske!$B$18),$C99,"0"))</f>
        <v>0</v>
      </c>
      <c r="AB99" s="222">
        <v>6862</v>
      </c>
      <c r="AC99" s="224">
        <f t="shared" si="71"/>
        <v>0</v>
      </c>
      <c r="AD99" s="222">
        <v>6862</v>
      </c>
      <c r="AE99" s="226" t="str">
        <f t="shared" si="126"/>
        <v xml:space="preserve"> </v>
      </c>
      <c r="AF99" s="312">
        <v>6862</v>
      </c>
      <c r="AG99" s="286">
        <f>AA99*Wirtschaftlichkeit!$I$5/Wirtschaftlichkeit!$I$7</f>
        <v>0</v>
      </c>
      <c r="AH99" s="284">
        <f t="shared" si="73"/>
        <v>0</v>
      </c>
      <c r="AJ99" s="222">
        <v>6862</v>
      </c>
      <c r="AK99" s="225" t="str">
        <f>IF($C99&gt;=Wirtschaftlichkeit!$J$8,Wirtschaftlichkeit!$J$8,IF(AND($C99&lt;=Wirtschaftlichkeit!$J$8,$C99&gt;=Wirtschaftlichkeit!$J$8*Eingabemaske!$B$18),$C99,"0"))</f>
        <v>0</v>
      </c>
      <c r="AL99" s="222">
        <v>6862</v>
      </c>
      <c r="AM99" s="224">
        <f t="shared" si="74"/>
        <v>0</v>
      </c>
      <c r="AN99" s="222">
        <v>6862</v>
      </c>
      <c r="AO99" s="226" t="str">
        <f t="shared" si="127"/>
        <v xml:space="preserve"> </v>
      </c>
      <c r="AP99" s="312">
        <v>6862</v>
      </c>
      <c r="AQ99" s="286">
        <f>AK99*Wirtschaftlichkeit!$J$5/Wirtschaftlichkeit!$J$7</f>
        <v>0</v>
      </c>
      <c r="AR99" s="284">
        <f t="shared" si="76"/>
        <v>0</v>
      </c>
      <c r="AT99" s="222">
        <v>6862</v>
      </c>
      <c r="AU99" s="225" t="str">
        <f>IF($C99&gt;=Wirtschaftlichkeit!$K$8,Wirtschaftlichkeit!$K$8,IF(AND($C99&lt;=Wirtschaftlichkeit!$K$8,$C99&gt;=Wirtschaftlichkeit!$K$8*Eingabemaske!$B$18),$C99,"0"))</f>
        <v>0</v>
      </c>
      <c r="AV99" s="222">
        <v>6862</v>
      </c>
      <c r="AW99" s="224">
        <f t="shared" si="77"/>
        <v>0</v>
      </c>
      <c r="AX99" s="222">
        <v>6862</v>
      </c>
      <c r="AY99" s="226" t="str">
        <f t="shared" si="128"/>
        <v xml:space="preserve"> </v>
      </c>
      <c r="AZ99" s="312">
        <v>6862</v>
      </c>
      <c r="BA99" s="286">
        <f>AU99*Wirtschaftlichkeit!$K$5/Wirtschaftlichkeit!$K$7</f>
        <v>0</v>
      </c>
      <c r="BB99" s="284">
        <f t="shared" si="79"/>
        <v>0</v>
      </c>
      <c r="BD99" s="222">
        <v>6862</v>
      </c>
      <c r="BE99" s="225" t="str">
        <f>IF($C99&gt;=Wirtschaftlichkeit!$L$8,Wirtschaftlichkeit!$L$8,IF(AND($C99&lt;=Wirtschaftlichkeit!$L$8,$C99&gt;=Wirtschaftlichkeit!$L$8*Eingabemaske!$B$18),$C99,"0"))</f>
        <v>0</v>
      </c>
      <c r="BF99" s="222">
        <v>6862</v>
      </c>
      <c r="BG99" s="224">
        <f t="shared" si="80"/>
        <v>0</v>
      </c>
      <c r="BH99" s="222">
        <v>6862</v>
      </c>
      <c r="BI99" s="226" t="str">
        <f t="shared" si="129"/>
        <v xml:space="preserve"> </v>
      </c>
      <c r="BJ99" s="312">
        <v>6862</v>
      </c>
      <c r="BK99" s="286">
        <f>BE99*Wirtschaftlichkeit!$L$5/Wirtschaftlichkeit!$L$7</f>
        <v>0</v>
      </c>
      <c r="BL99" s="284">
        <f t="shared" si="82"/>
        <v>0</v>
      </c>
      <c r="BN99" s="222">
        <v>6862</v>
      </c>
      <c r="BO99" s="225" t="str">
        <f>IF($C99&gt;=Wirtschaftlichkeit!$M$8,Wirtschaftlichkeit!$M$8,IF(AND($C99&lt;=Wirtschaftlichkeit!$M$8,$C99&gt;=Wirtschaftlichkeit!$M$8*Eingabemaske!$B$18),$C99,"0"))</f>
        <v>0</v>
      </c>
      <c r="BP99" s="222">
        <v>6862</v>
      </c>
      <c r="BQ99" s="224">
        <f t="shared" si="83"/>
        <v>0</v>
      </c>
      <c r="BR99" s="222">
        <v>6862</v>
      </c>
      <c r="BS99" s="226" t="str">
        <f t="shared" si="130"/>
        <v xml:space="preserve"> </v>
      </c>
      <c r="BT99" s="312">
        <v>6862</v>
      </c>
      <c r="BU99" s="286">
        <f>BO99*Wirtschaftlichkeit!$M$5/Wirtschaftlichkeit!$M$7</f>
        <v>0</v>
      </c>
      <c r="BV99" s="284">
        <f t="shared" si="85"/>
        <v>0</v>
      </c>
      <c r="BX99" s="222">
        <v>6862</v>
      </c>
      <c r="BY99" s="225" t="str">
        <f>IF($C99&gt;=Wirtschaftlichkeit!$N$8,Wirtschaftlichkeit!$N$8,IF(AND($C99&lt;=Wirtschaftlichkeit!$N$8,$C99&gt;=Wirtschaftlichkeit!$N$8*Eingabemaske!$B$18),$C99,"0"))</f>
        <v>0</v>
      </c>
      <c r="BZ99" s="222">
        <v>6862</v>
      </c>
      <c r="CA99" s="224">
        <f t="shared" si="86"/>
        <v>0</v>
      </c>
      <c r="CB99" s="222">
        <v>6862</v>
      </c>
      <c r="CC99" s="226" t="str">
        <f t="shared" si="131"/>
        <v xml:space="preserve"> </v>
      </c>
      <c r="CD99" s="312">
        <v>6862</v>
      </c>
      <c r="CE99" s="286">
        <f>BY99*Wirtschaftlichkeit!$N$5/Wirtschaftlichkeit!$N$7</f>
        <v>0</v>
      </c>
      <c r="CF99" s="284">
        <f t="shared" si="88"/>
        <v>0</v>
      </c>
      <c r="CH99" s="222">
        <v>6862</v>
      </c>
      <c r="CI99" s="225" t="str">
        <f>IF($C99&gt;=Wirtschaftlichkeit!$O$8,Wirtschaftlichkeit!$O$8,IF(AND($C99&lt;=Wirtschaftlichkeit!$O$8,$C99&gt;=Wirtschaftlichkeit!$O$8*Eingabemaske!$B$18),$C99,"0"))</f>
        <v>0</v>
      </c>
      <c r="CJ99" s="222">
        <v>6862</v>
      </c>
      <c r="CK99" s="224">
        <f t="shared" si="89"/>
        <v>0</v>
      </c>
      <c r="CL99" s="222">
        <v>6862</v>
      </c>
      <c r="CM99" s="226" t="str">
        <f t="shared" si="132"/>
        <v xml:space="preserve"> </v>
      </c>
      <c r="CN99" s="312">
        <v>6862</v>
      </c>
      <c r="CO99" s="286">
        <f>CI99*Wirtschaftlichkeit!$O$5/Wirtschaftlichkeit!$O$7</f>
        <v>0</v>
      </c>
      <c r="CP99" s="284">
        <f t="shared" si="91"/>
        <v>0</v>
      </c>
      <c r="CR99" s="222">
        <v>6862</v>
      </c>
      <c r="CS99" s="225" t="str">
        <f>IF($C99&gt;=Wirtschaftlichkeit!$P$8,Wirtschaftlichkeit!$P$8,IF(AND($C99&lt;=Wirtschaftlichkeit!$P$8,$C99&gt;=Wirtschaftlichkeit!$P$8*Eingabemaske!$B$18),$C99,"0"))</f>
        <v>0</v>
      </c>
      <c r="CT99" s="222">
        <v>6862</v>
      </c>
      <c r="CU99" s="224">
        <f t="shared" si="92"/>
        <v>0</v>
      </c>
      <c r="CV99" s="222">
        <v>6862</v>
      </c>
      <c r="CW99" s="226" t="str">
        <f t="shared" si="133"/>
        <v xml:space="preserve"> </v>
      </c>
      <c r="CX99" s="312">
        <v>6862</v>
      </c>
      <c r="CY99" s="286">
        <f>CS99*Wirtschaftlichkeit!$P$5/Wirtschaftlichkeit!$P$7</f>
        <v>0</v>
      </c>
      <c r="CZ99" s="284">
        <f t="shared" si="94"/>
        <v>0</v>
      </c>
      <c r="DB99" s="222">
        <v>6862</v>
      </c>
      <c r="DC99" s="225" t="str">
        <f>IF($C99&gt;=Wirtschaftlichkeit!$Q$8,Wirtschaftlichkeit!$Q$8,IF(AND($C99&lt;=Wirtschaftlichkeit!$Q$8,$C99&gt;=Wirtschaftlichkeit!$Q$8*Eingabemaske!$B$18),$C99,"0"))</f>
        <v>0</v>
      </c>
      <c r="DD99" s="222">
        <v>6862</v>
      </c>
      <c r="DE99" s="224">
        <f t="shared" si="95"/>
        <v>0</v>
      </c>
      <c r="DF99" s="222">
        <v>6862</v>
      </c>
      <c r="DG99" s="226" t="str">
        <f t="shared" si="134"/>
        <v xml:space="preserve"> </v>
      </c>
      <c r="DH99" s="312">
        <v>6862</v>
      </c>
      <c r="DI99" s="286">
        <f>DC99*Wirtschaftlichkeit!$Q$5/Wirtschaftlichkeit!$Q$7</f>
        <v>0</v>
      </c>
      <c r="DJ99" s="284">
        <f t="shared" si="97"/>
        <v>0</v>
      </c>
      <c r="DL99" s="222">
        <v>6862</v>
      </c>
      <c r="DM99" s="225" t="str">
        <f>IF($C99&gt;=Wirtschaftlichkeit!$R$8,Wirtschaftlichkeit!$R$8,IF(AND($C99&lt;=Wirtschaftlichkeit!$R$8,$C99&gt;=Wirtschaftlichkeit!$R$8*Eingabemaske!$B$18),$C99,"0"))</f>
        <v>0</v>
      </c>
      <c r="DN99" s="222">
        <v>6862</v>
      </c>
      <c r="DO99" s="224">
        <f t="shared" si="98"/>
        <v>0</v>
      </c>
      <c r="DP99" s="222">
        <v>6862</v>
      </c>
      <c r="DQ99" s="226" t="str">
        <f t="shared" si="135"/>
        <v xml:space="preserve"> </v>
      </c>
      <c r="DR99" s="312">
        <v>6862</v>
      </c>
      <c r="DS99" s="286">
        <f>DM99*Wirtschaftlichkeit!$R$5/Wirtschaftlichkeit!$R$7</f>
        <v>0</v>
      </c>
      <c r="DT99" s="284">
        <f t="shared" si="100"/>
        <v>0</v>
      </c>
      <c r="DV99" s="222">
        <v>6862</v>
      </c>
      <c r="DW99" s="225" t="str">
        <f>IF($C99&gt;=Wirtschaftlichkeit!$S$8,Wirtschaftlichkeit!$S$8,IF(AND($C99&lt;=Wirtschaftlichkeit!$S$8,$C99&gt;=Wirtschaftlichkeit!$S$8*Eingabemaske!$B$18),$C99,"0"))</f>
        <v>0</v>
      </c>
      <c r="DX99" s="222">
        <v>6862</v>
      </c>
      <c r="DY99" s="224">
        <f t="shared" si="101"/>
        <v>0</v>
      </c>
      <c r="DZ99" s="222">
        <v>6862</v>
      </c>
      <c r="EA99" s="226" t="str">
        <f t="shared" si="136"/>
        <v xml:space="preserve"> </v>
      </c>
      <c r="EB99" s="312">
        <v>6862</v>
      </c>
      <c r="EC99" s="286">
        <f>DW99*Wirtschaftlichkeit!$S$5/Wirtschaftlichkeit!$S$7</f>
        <v>0</v>
      </c>
      <c r="ED99" s="284">
        <f t="shared" si="103"/>
        <v>0</v>
      </c>
      <c r="EF99" s="222">
        <v>6862</v>
      </c>
      <c r="EG99" s="225" t="str">
        <f>IF($C99&gt;=Wirtschaftlichkeit!$T$8,Wirtschaftlichkeit!$T$8,IF(AND($C99&lt;=Wirtschaftlichkeit!$T$8,$C99&gt;=Wirtschaftlichkeit!$T$8*Eingabemaske!$B$18),$C99,"0"))</f>
        <v>0</v>
      </c>
      <c r="EH99" s="222">
        <v>6862</v>
      </c>
      <c r="EI99" s="224">
        <f t="shared" si="104"/>
        <v>0</v>
      </c>
      <c r="EJ99" s="222">
        <v>6862</v>
      </c>
      <c r="EK99" s="226" t="str">
        <f t="shared" si="137"/>
        <v xml:space="preserve"> </v>
      </c>
      <c r="EL99" s="312">
        <v>6862</v>
      </c>
      <c r="EM99" s="286">
        <f>EG99*Wirtschaftlichkeit!$T$5/Wirtschaftlichkeit!$T$7</f>
        <v>0</v>
      </c>
      <c r="EN99" s="284">
        <f t="shared" si="106"/>
        <v>0</v>
      </c>
      <c r="EP99" s="222">
        <v>6862</v>
      </c>
      <c r="EQ99" s="225" t="str">
        <f>IF($C99&gt;=Wirtschaftlichkeit!$U$8,Wirtschaftlichkeit!$U$8,IF(AND($C99&lt;=Wirtschaftlichkeit!$U$8,$C99&gt;=Wirtschaftlichkeit!$U$8*Eingabemaske!$B$18),$C99,"0"))</f>
        <v>0</v>
      </c>
      <c r="ER99" s="222">
        <v>6862</v>
      </c>
      <c r="ES99" s="224">
        <f t="shared" si="107"/>
        <v>0</v>
      </c>
      <c r="ET99" s="222">
        <v>6862</v>
      </c>
      <c r="EU99" s="226" t="str">
        <f t="shared" si="138"/>
        <v xml:space="preserve"> </v>
      </c>
      <c r="EV99" s="312">
        <v>6862</v>
      </c>
      <c r="EW99" s="286">
        <f>EQ99*Wirtschaftlichkeit!$U$5/Wirtschaftlichkeit!$U$7</f>
        <v>0</v>
      </c>
      <c r="EX99" s="284">
        <f t="shared" si="109"/>
        <v>0</v>
      </c>
      <c r="EZ99" s="222">
        <v>6862</v>
      </c>
      <c r="FA99" s="225" t="str">
        <f>IF($C99&gt;=Wirtschaftlichkeit!$V$8,Wirtschaftlichkeit!$V$8,IF(AND($C99&lt;=Wirtschaftlichkeit!$V$8,$C99&gt;=Wirtschaftlichkeit!$V$8*Eingabemaske!$B$18),$C99,"0"))</f>
        <v>0</v>
      </c>
      <c r="FB99" s="222">
        <v>6862</v>
      </c>
      <c r="FC99" s="224">
        <f t="shared" si="110"/>
        <v>0</v>
      </c>
      <c r="FD99" s="222">
        <v>6862</v>
      </c>
      <c r="FE99" s="226" t="str">
        <f t="shared" si="139"/>
        <v xml:space="preserve"> </v>
      </c>
      <c r="FF99" s="312">
        <v>6862</v>
      </c>
      <c r="FG99" s="286">
        <f>FA99*Wirtschaftlichkeit!$V$5/Wirtschaftlichkeit!$V$7</f>
        <v>0</v>
      </c>
      <c r="FH99" s="284">
        <f t="shared" si="112"/>
        <v>0</v>
      </c>
      <c r="FJ99" s="222">
        <v>6862</v>
      </c>
      <c r="FK99" s="225" t="str">
        <f>IF($C99&gt;=Wirtschaftlichkeit!$W$8,Wirtschaftlichkeit!$W$8,IF(AND($C99&lt;=Wirtschaftlichkeit!$W$8,$C99&gt;=Wirtschaftlichkeit!$W$8*Eingabemaske!$B$18),$C99,"0"))</f>
        <v>0</v>
      </c>
      <c r="FL99" s="222">
        <v>6862</v>
      </c>
      <c r="FM99" s="224">
        <f t="shared" si="113"/>
        <v>0</v>
      </c>
      <c r="FN99" s="222">
        <v>6862</v>
      </c>
      <c r="FO99" s="226" t="str">
        <f t="shared" si="140"/>
        <v xml:space="preserve"> </v>
      </c>
      <c r="FP99" s="312">
        <v>6862</v>
      </c>
      <c r="FQ99" s="286">
        <f>FK99*Wirtschaftlichkeit!$W$5/Wirtschaftlichkeit!$W$7</f>
        <v>0</v>
      </c>
      <c r="FR99" s="284">
        <f t="shared" si="115"/>
        <v>0</v>
      </c>
      <c r="FT99" s="222">
        <v>6862</v>
      </c>
      <c r="FU99" s="225" t="str">
        <f>IF($C99&gt;=Wirtschaftlichkeit!$X$8,Wirtschaftlichkeit!$X$8,IF(AND($C99&lt;=Wirtschaftlichkeit!$X$8,$C99&gt;=Wirtschaftlichkeit!$X$8*Eingabemaske!$B$18),$C99,"0"))</f>
        <v>0</v>
      </c>
      <c r="FV99" s="222">
        <v>6862</v>
      </c>
      <c r="FW99" s="224">
        <f t="shared" si="116"/>
        <v>0</v>
      </c>
      <c r="FX99" s="222">
        <v>6862</v>
      </c>
      <c r="FY99" s="226" t="str">
        <f t="shared" si="141"/>
        <v xml:space="preserve"> </v>
      </c>
      <c r="FZ99" s="312">
        <v>6862</v>
      </c>
      <c r="GA99" s="286">
        <f>FU99*Wirtschaftlichkeit!$X$5/Wirtschaftlichkeit!$X$7</f>
        <v>0</v>
      </c>
      <c r="GB99" s="284">
        <f t="shared" si="118"/>
        <v>0</v>
      </c>
      <c r="GD99" s="222">
        <v>6862</v>
      </c>
      <c r="GE99" s="225" t="str">
        <f>IF($C99&gt;=Wirtschaftlichkeit!$Y$8,Wirtschaftlichkeit!$Y$8,IF(AND($C99&lt;=Wirtschaftlichkeit!$Y$8,$C99&gt;=Wirtschaftlichkeit!$Y$8*Eingabemaske!$B$18),$C99,"0"))</f>
        <v>0</v>
      </c>
      <c r="GF99" s="222">
        <v>6862</v>
      </c>
      <c r="GG99" s="224">
        <f t="shared" si="119"/>
        <v>0</v>
      </c>
      <c r="GH99" s="222">
        <v>6862</v>
      </c>
      <c r="GI99" s="226" t="str">
        <f t="shared" si="142"/>
        <v xml:space="preserve"> </v>
      </c>
      <c r="GJ99" s="312">
        <v>6862</v>
      </c>
      <c r="GK99" s="286">
        <f>GE99*Wirtschaftlichkeit!$Y$5/Wirtschaftlichkeit!$Y$7</f>
        <v>0</v>
      </c>
      <c r="GL99" s="284">
        <f t="shared" si="121"/>
        <v>0</v>
      </c>
      <c r="GN99" s="222">
        <v>6862</v>
      </c>
      <c r="GO99" s="225" t="str">
        <f>IF($C99&gt;=Wirtschaftlichkeit!$Z$8,Wirtschaftlichkeit!$Z$8,IF(AND($C99&lt;=Wirtschaftlichkeit!$Z$8,$C99&gt;=Wirtschaftlichkeit!$Z$8*Eingabemaske!$B$18),$C99,"0"))</f>
        <v>0</v>
      </c>
      <c r="GP99" s="222">
        <v>6862</v>
      </c>
      <c r="GQ99" s="224">
        <f t="shared" si="122"/>
        <v>0</v>
      </c>
      <c r="GR99" s="222">
        <v>6862</v>
      </c>
      <c r="GS99" s="226" t="str">
        <f t="shared" si="143"/>
        <v xml:space="preserve"> </v>
      </c>
      <c r="GT99" s="312">
        <v>6862</v>
      </c>
      <c r="GU99" s="286">
        <f>GO99*Wirtschaftlichkeit!$Z$5/Wirtschaftlichkeit!$Z$7</f>
        <v>0</v>
      </c>
      <c r="GV99" s="284">
        <f t="shared" si="124"/>
        <v>0</v>
      </c>
      <c r="GW99" s="266"/>
      <c r="GX99" s="258">
        <v>6862</v>
      </c>
      <c r="GY99" s="270" t="str">
        <f>IF(Berechnung_Diagramme!$C$28=Berechnungen_Lastgang!$F$2,Berechnungen_Lastgang!G99,IF(Berechnung_Diagramme!$C$28=Berechnungen_Lastgang!$P$2,Berechnungen_Lastgang!Q99,IF(Berechnung_Diagramme!$C$28=Berechnungen_Lastgang!$Z$2,Berechnungen_Lastgang!AA99,IF(Berechnung_Diagramme!$C$28=Berechnungen_Lastgang!$AJ$2,Berechnungen_Lastgang!AK99,IF(Berechnung_Diagramme!$C$28=Berechnungen_Lastgang!$AT$2,Berechnungen_Lastgang!AU99,IF(Berechnung_Diagramme!$C$28=Berechnungen_Lastgang!$BD$2,Berechnungen_Lastgang!BE99,IF(Berechnung_Diagramme!$C$28=Berechnungen_Lastgang!$BN$2,Berechnungen_Lastgang!BO99,IF(Berechnung_Diagramme!$C$28=Berechnungen_Lastgang!$BX$2,Berechnungen_Lastgang!BY99,IF(Berechnung_Diagramme!$C$28=Berechnungen_Lastgang!$CH$2,Berechnungen_Lastgang!CI99,IF(Berechnung_Diagramme!$C$28=Berechnungen_Lastgang!$CR$2,Berechnungen_Lastgang!CS99,IF(Berechnung_Diagramme!$C$28=Berechnungen_Lastgang!$DB$2,Berechnungen_Lastgang!DC99,IF(Berechnung_Diagramme!$C$28=Berechnungen_Lastgang!$DL$2,Berechnungen_Lastgang!DM99,IF(Berechnung_Diagramme!$C$28=Berechnungen_Lastgang!$DV$2,Berechnungen_Lastgang!DW99,IF(Berechnung_Diagramme!$C$28=Berechnungen_Lastgang!$EF$2,Berechnungen_Lastgang!EG99,IF(Berechnung_Diagramme!$C$28=Berechnungen_Lastgang!$EP$2,Berechnungen_Lastgang!EQ99,IF(Berechnung_Diagramme!$C$28=Berechnungen_Lastgang!$EZ$2,Berechnungen_Lastgang!FA99,IF(Berechnung_Diagramme!$C$28=Berechnungen_Lastgang!$FJ$2,Berechnungen_Lastgang!FK99,IF(Berechnung_Diagramme!$C$28=Berechnungen_Lastgang!$FT$2,Berechnungen_Lastgang!FU99,IF(Berechnung_Diagramme!$C$28=Berechnungen_Lastgang!$GD$2,Berechnungen_Lastgang!GE99,IF(Berechnung_Diagramme!$C$28=Berechnungen_Lastgang!$GN$2,Berechnungen_Lastgang!GO99,""))))))))))))))))))))</f>
        <v>0</v>
      </c>
    </row>
    <row r="100" spans="2:207" x14ac:dyDescent="0.25">
      <c r="B100" s="64">
        <v>6935</v>
      </c>
      <c r="C100" s="67">
        <f>(C95+C105)/2</f>
        <v>3.3740999999999999</v>
      </c>
      <c r="D100" s="66">
        <f t="shared" si="64"/>
        <v>240.86933999999999</v>
      </c>
      <c r="F100" s="64">
        <v>6935</v>
      </c>
      <c r="G100" s="225">
        <f>IF($C100&gt;=Wirtschaftlichkeit!$G$8,Wirtschaftlichkeit!$G$8,IF(AND($C100&lt;=Wirtschaftlichkeit!$G$8,$C100&gt;=Wirtschaftlichkeit!$G$8*Eingabemaske!$B$18),$C100,"0"))</f>
        <v>2.8333333333333335</v>
      </c>
      <c r="H100" s="64">
        <v>6935</v>
      </c>
      <c r="I100" s="66">
        <f t="shared" si="65"/>
        <v>206.83333333333334</v>
      </c>
      <c r="J100" s="64">
        <v>6935</v>
      </c>
      <c r="K100" s="71">
        <f t="shared" si="66"/>
        <v>2.8333333333333335</v>
      </c>
      <c r="L100" s="312">
        <v>6935</v>
      </c>
      <c r="M100" s="286">
        <f>G100*Wirtschaftlichkeit!$G$5/Wirtschaftlichkeit!$G$7</f>
        <v>1</v>
      </c>
      <c r="N100" s="284">
        <f t="shared" si="67"/>
        <v>73</v>
      </c>
      <c r="P100" s="222">
        <v>6935</v>
      </c>
      <c r="Q100" s="225">
        <f>IF($C100&gt;=Wirtschaftlichkeit!$H$8,Wirtschaftlichkeit!$H$8,IF(AND($C100&lt;=Wirtschaftlichkeit!$H$8,$C100&gt;=Wirtschaftlichkeit!$H$8*Eingabemaske!$B$18),$C100,"0"))</f>
        <v>3.3740999999999999</v>
      </c>
      <c r="R100" s="222">
        <v>6935</v>
      </c>
      <c r="S100" s="224">
        <f t="shared" si="68"/>
        <v>240.86933999999999</v>
      </c>
      <c r="T100" s="222">
        <v>6935</v>
      </c>
      <c r="U100" s="226">
        <f t="shared" si="125"/>
        <v>3.3740999999999999</v>
      </c>
      <c r="V100" s="312">
        <v>6935</v>
      </c>
      <c r="W100" s="286">
        <f>Q100*Wirtschaftlichkeit!$H$5/Wirtschaftlichkeit!$H$7</f>
        <v>1.2077036900369003</v>
      </c>
      <c r="X100" s="284">
        <f t="shared" si="70"/>
        <v>86.215225018450184</v>
      </c>
      <c r="Z100" s="222">
        <v>6935</v>
      </c>
      <c r="AA100" s="225" t="str">
        <f>IF($C100&gt;=Wirtschaftlichkeit!$I$8,Wirtschaftlichkeit!$I$8,IF(AND($C100&lt;=Wirtschaftlichkeit!$I$8,$C100&gt;=Wirtschaftlichkeit!$I$8*Eingabemaske!$B$18),$C100,"0"))</f>
        <v>0</v>
      </c>
      <c r="AB100" s="222">
        <v>6935</v>
      </c>
      <c r="AC100" s="224">
        <f t="shared" si="71"/>
        <v>0</v>
      </c>
      <c r="AD100" s="222">
        <v>6935</v>
      </c>
      <c r="AE100" s="226" t="str">
        <f t="shared" si="126"/>
        <v xml:space="preserve"> </v>
      </c>
      <c r="AF100" s="312">
        <v>6935</v>
      </c>
      <c r="AG100" s="286">
        <f>AA100*Wirtschaftlichkeit!$I$5/Wirtschaftlichkeit!$I$7</f>
        <v>0</v>
      </c>
      <c r="AH100" s="284">
        <f t="shared" si="73"/>
        <v>0</v>
      </c>
      <c r="AJ100" s="222">
        <v>6935</v>
      </c>
      <c r="AK100" s="225" t="str">
        <f>IF($C100&gt;=Wirtschaftlichkeit!$J$8,Wirtschaftlichkeit!$J$8,IF(AND($C100&lt;=Wirtschaftlichkeit!$J$8,$C100&gt;=Wirtschaftlichkeit!$J$8*Eingabemaske!$B$18),$C100,"0"))</f>
        <v>0</v>
      </c>
      <c r="AL100" s="222">
        <v>6935</v>
      </c>
      <c r="AM100" s="224">
        <f t="shared" si="74"/>
        <v>0</v>
      </c>
      <c r="AN100" s="222">
        <v>6935</v>
      </c>
      <c r="AO100" s="226" t="str">
        <f t="shared" si="127"/>
        <v xml:space="preserve"> </v>
      </c>
      <c r="AP100" s="312">
        <v>6935</v>
      </c>
      <c r="AQ100" s="286">
        <f>AK100*Wirtschaftlichkeit!$J$5/Wirtschaftlichkeit!$J$7</f>
        <v>0</v>
      </c>
      <c r="AR100" s="284">
        <f t="shared" si="76"/>
        <v>0</v>
      </c>
      <c r="AT100" s="222">
        <v>6935</v>
      </c>
      <c r="AU100" s="225" t="str">
        <f>IF($C100&gt;=Wirtschaftlichkeit!$K$8,Wirtschaftlichkeit!$K$8,IF(AND($C100&lt;=Wirtschaftlichkeit!$K$8,$C100&gt;=Wirtschaftlichkeit!$K$8*Eingabemaske!$B$18),$C100,"0"))</f>
        <v>0</v>
      </c>
      <c r="AV100" s="222">
        <v>6935</v>
      </c>
      <c r="AW100" s="224">
        <f t="shared" si="77"/>
        <v>0</v>
      </c>
      <c r="AX100" s="222">
        <v>6935</v>
      </c>
      <c r="AY100" s="226" t="str">
        <f t="shared" si="128"/>
        <v xml:space="preserve"> </v>
      </c>
      <c r="AZ100" s="312">
        <v>6935</v>
      </c>
      <c r="BA100" s="286">
        <f>AU100*Wirtschaftlichkeit!$K$5/Wirtschaftlichkeit!$K$7</f>
        <v>0</v>
      </c>
      <c r="BB100" s="284">
        <f t="shared" si="79"/>
        <v>0</v>
      </c>
      <c r="BD100" s="222">
        <v>6935</v>
      </c>
      <c r="BE100" s="225" t="str">
        <f>IF($C100&gt;=Wirtschaftlichkeit!$L$8,Wirtschaftlichkeit!$L$8,IF(AND($C100&lt;=Wirtschaftlichkeit!$L$8,$C100&gt;=Wirtschaftlichkeit!$L$8*Eingabemaske!$B$18),$C100,"0"))</f>
        <v>0</v>
      </c>
      <c r="BF100" s="222">
        <v>6935</v>
      </c>
      <c r="BG100" s="224">
        <f t="shared" si="80"/>
        <v>0</v>
      </c>
      <c r="BH100" s="222">
        <v>6935</v>
      </c>
      <c r="BI100" s="226" t="str">
        <f t="shared" si="129"/>
        <v xml:space="preserve"> </v>
      </c>
      <c r="BJ100" s="312">
        <v>6935</v>
      </c>
      <c r="BK100" s="286">
        <f>BE100*Wirtschaftlichkeit!$L$5/Wirtschaftlichkeit!$L$7</f>
        <v>0</v>
      </c>
      <c r="BL100" s="284">
        <f t="shared" si="82"/>
        <v>0</v>
      </c>
      <c r="BN100" s="222">
        <v>6935</v>
      </c>
      <c r="BO100" s="225" t="str">
        <f>IF($C100&gt;=Wirtschaftlichkeit!$M$8,Wirtschaftlichkeit!$M$8,IF(AND($C100&lt;=Wirtschaftlichkeit!$M$8,$C100&gt;=Wirtschaftlichkeit!$M$8*Eingabemaske!$B$18),$C100,"0"))</f>
        <v>0</v>
      </c>
      <c r="BP100" s="222">
        <v>6935</v>
      </c>
      <c r="BQ100" s="224">
        <f t="shared" si="83"/>
        <v>0</v>
      </c>
      <c r="BR100" s="222">
        <v>6935</v>
      </c>
      <c r="BS100" s="226" t="str">
        <f t="shared" si="130"/>
        <v xml:space="preserve"> </v>
      </c>
      <c r="BT100" s="312">
        <v>6935</v>
      </c>
      <c r="BU100" s="286">
        <f>BO100*Wirtschaftlichkeit!$M$5/Wirtschaftlichkeit!$M$7</f>
        <v>0</v>
      </c>
      <c r="BV100" s="284">
        <f t="shared" si="85"/>
        <v>0</v>
      </c>
      <c r="BX100" s="222">
        <v>6935</v>
      </c>
      <c r="BY100" s="225" t="str">
        <f>IF($C100&gt;=Wirtschaftlichkeit!$N$8,Wirtschaftlichkeit!$N$8,IF(AND($C100&lt;=Wirtschaftlichkeit!$N$8,$C100&gt;=Wirtschaftlichkeit!$N$8*Eingabemaske!$B$18),$C100,"0"))</f>
        <v>0</v>
      </c>
      <c r="BZ100" s="222">
        <v>6935</v>
      </c>
      <c r="CA100" s="224">
        <f t="shared" si="86"/>
        <v>0</v>
      </c>
      <c r="CB100" s="222">
        <v>6935</v>
      </c>
      <c r="CC100" s="226" t="str">
        <f t="shared" si="131"/>
        <v xml:space="preserve"> </v>
      </c>
      <c r="CD100" s="312">
        <v>6935</v>
      </c>
      <c r="CE100" s="286">
        <f>BY100*Wirtschaftlichkeit!$N$5/Wirtschaftlichkeit!$N$7</f>
        <v>0</v>
      </c>
      <c r="CF100" s="284">
        <f t="shared" si="88"/>
        <v>0</v>
      </c>
      <c r="CH100" s="222">
        <v>6935</v>
      </c>
      <c r="CI100" s="225" t="str">
        <f>IF($C100&gt;=Wirtschaftlichkeit!$O$8,Wirtschaftlichkeit!$O$8,IF(AND($C100&lt;=Wirtschaftlichkeit!$O$8,$C100&gt;=Wirtschaftlichkeit!$O$8*Eingabemaske!$B$18),$C100,"0"))</f>
        <v>0</v>
      </c>
      <c r="CJ100" s="222">
        <v>6935</v>
      </c>
      <c r="CK100" s="224">
        <f t="shared" si="89"/>
        <v>0</v>
      </c>
      <c r="CL100" s="222">
        <v>6935</v>
      </c>
      <c r="CM100" s="226" t="str">
        <f t="shared" si="132"/>
        <v xml:space="preserve"> </v>
      </c>
      <c r="CN100" s="312">
        <v>6935</v>
      </c>
      <c r="CO100" s="286">
        <f>CI100*Wirtschaftlichkeit!$O$5/Wirtschaftlichkeit!$O$7</f>
        <v>0</v>
      </c>
      <c r="CP100" s="284">
        <f t="shared" si="91"/>
        <v>0</v>
      </c>
      <c r="CR100" s="222">
        <v>6935</v>
      </c>
      <c r="CS100" s="225" t="str">
        <f>IF($C100&gt;=Wirtschaftlichkeit!$P$8,Wirtschaftlichkeit!$P$8,IF(AND($C100&lt;=Wirtschaftlichkeit!$P$8,$C100&gt;=Wirtschaftlichkeit!$P$8*Eingabemaske!$B$18),$C100,"0"))</f>
        <v>0</v>
      </c>
      <c r="CT100" s="222">
        <v>6935</v>
      </c>
      <c r="CU100" s="224">
        <f t="shared" si="92"/>
        <v>0</v>
      </c>
      <c r="CV100" s="222">
        <v>6935</v>
      </c>
      <c r="CW100" s="226" t="str">
        <f t="shared" si="133"/>
        <v xml:space="preserve"> </v>
      </c>
      <c r="CX100" s="312">
        <v>6935</v>
      </c>
      <c r="CY100" s="286">
        <f>CS100*Wirtschaftlichkeit!$P$5/Wirtschaftlichkeit!$P$7</f>
        <v>0</v>
      </c>
      <c r="CZ100" s="284">
        <f t="shared" si="94"/>
        <v>0</v>
      </c>
      <c r="DB100" s="222">
        <v>6935</v>
      </c>
      <c r="DC100" s="225" t="str">
        <f>IF($C100&gt;=Wirtschaftlichkeit!$Q$8,Wirtschaftlichkeit!$Q$8,IF(AND($C100&lt;=Wirtschaftlichkeit!$Q$8,$C100&gt;=Wirtschaftlichkeit!$Q$8*Eingabemaske!$B$18),$C100,"0"))</f>
        <v>0</v>
      </c>
      <c r="DD100" s="222">
        <v>6935</v>
      </c>
      <c r="DE100" s="224">
        <f t="shared" si="95"/>
        <v>0</v>
      </c>
      <c r="DF100" s="222">
        <v>6935</v>
      </c>
      <c r="DG100" s="226" t="str">
        <f t="shared" si="134"/>
        <v xml:space="preserve"> </v>
      </c>
      <c r="DH100" s="312">
        <v>6935</v>
      </c>
      <c r="DI100" s="286">
        <f>DC100*Wirtschaftlichkeit!$Q$5/Wirtschaftlichkeit!$Q$7</f>
        <v>0</v>
      </c>
      <c r="DJ100" s="284">
        <f t="shared" si="97"/>
        <v>0</v>
      </c>
      <c r="DL100" s="222">
        <v>6935</v>
      </c>
      <c r="DM100" s="225" t="str">
        <f>IF($C100&gt;=Wirtschaftlichkeit!$R$8,Wirtschaftlichkeit!$R$8,IF(AND($C100&lt;=Wirtschaftlichkeit!$R$8,$C100&gt;=Wirtschaftlichkeit!$R$8*Eingabemaske!$B$18),$C100,"0"))</f>
        <v>0</v>
      </c>
      <c r="DN100" s="222">
        <v>6935</v>
      </c>
      <c r="DO100" s="224">
        <f t="shared" si="98"/>
        <v>0</v>
      </c>
      <c r="DP100" s="222">
        <v>6935</v>
      </c>
      <c r="DQ100" s="226" t="str">
        <f t="shared" si="135"/>
        <v xml:space="preserve"> </v>
      </c>
      <c r="DR100" s="312">
        <v>6935</v>
      </c>
      <c r="DS100" s="286">
        <f>DM100*Wirtschaftlichkeit!$R$5/Wirtschaftlichkeit!$R$7</f>
        <v>0</v>
      </c>
      <c r="DT100" s="284">
        <f t="shared" si="100"/>
        <v>0</v>
      </c>
      <c r="DV100" s="222">
        <v>6935</v>
      </c>
      <c r="DW100" s="225" t="str">
        <f>IF($C100&gt;=Wirtschaftlichkeit!$S$8,Wirtschaftlichkeit!$S$8,IF(AND($C100&lt;=Wirtschaftlichkeit!$S$8,$C100&gt;=Wirtschaftlichkeit!$S$8*Eingabemaske!$B$18),$C100,"0"))</f>
        <v>0</v>
      </c>
      <c r="DX100" s="222">
        <v>6935</v>
      </c>
      <c r="DY100" s="224">
        <f t="shared" si="101"/>
        <v>0</v>
      </c>
      <c r="DZ100" s="222">
        <v>6935</v>
      </c>
      <c r="EA100" s="226" t="str">
        <f t="shared" si="136"/>
        <v xml:space="preserve"> </v>
      </c>
      <c r="EB100" s="312">
        <v>6935</v>
      </c>
      <c r="EC100" s="286">
        <f>DW100*Wirtschaftlichkeit!$S$5/Wirtschaftlichkeit!$S$7</f>
        <v>0</v>
      </c>
      <c r="ED100" s="284">
        <f t="shared" si="103"/>
        <v>0</v>
      </c>
      <c r="EF100" s="222">
        <v>6935</v>
      </c>
      <c r="EG100" s="225" t="str">
        <f>IF($C100&gt;=Wirtschaftlichkeit!$T$8,Wirtschaftlichkeit!$T$8,IF(AND($C100&lt;=Wirtschaftlichkeit!$T$8,$C100&gt;=Wirtschaftlichkeit!$T$8*Eingabemaske!$B$18),$C100,"0"))</f>
        <v>0</v>
      </c>
      <c r="EH100" s="222">
        <v>6935</v>
      </c>
      <c r="EI100" s="224">
        <f t="shared" si="104"/>
        <v>0</v>
      </c>
      <c r="EJ100" s="222">
        <v>6935</v>
      </c>
      <c r="EK100" s="226" t="str">
        <f t="shared" si="137"/>
        <v xml:space="preserve"> </v>
      </c>
      <c r="EL100" s="312">
        <v>6935</v>
      </c>
      <c r="EM100" s="286">
        <f>EG100*Wirtschaftlichkeit!$T$5/Wirtschaftlichkeit!$T$7</f>
        <v>0</v>
      </c>
      <c r="EN100" s="284">
        <f t="shared" si="106"/>
        <v>0</v>
      </c>
      <c r="EP100" s="222">
        <v>6935</v>
      </c>
      <c r="EQ100" s="225" t="str">
        <f>IF($C100&gt;=Wirtschaftlichkeit!$U$8,Wirtschaftlichkeit!$U$8,IF(AND($C100&lt;=Wirtschaftlichkeit!$U$8,$C100&gt;=Wirtschaftlichkeit!$U$8*Eingabemaske!$B$18),$C100,"0"))</f>
        <v>0</v>
      </c>
      <c r="ER100" s="222">
        <v>6935</v>
      </c>
      <c r="ES100" s="224">
        <f t="shared" si="107"/>
        <v>0</v>
      </c>
      <c r="ET100" s="222">
        <v>6935</v>
      </c>
      <c r="EU100" s="226" t="str">
        <f t="shared" si="138"/>
        <v xml:space="preserve"> </v>
      </c>
      <c r="EV100" s="312">
        <v>6935</v>
      </c>
      <c r="EW100" s="286">
        <f>EQ100*Wirtschaftlichkeit!$U$5/Wirtschaftlichkeit!$U$7</f>
        <v>0</v>
      </c>
      <c r="EX100" s="284">
        <f t="shared" si="109"/>
        <v>0</v>
      </c>
      <c r="EZ100" s="222">
        <v>6935</v>
      </c>
      <c r="FA100" s="225" t="str">
        <f>IF($C100&gt;=Wirtschaftlichkeit!$V$8,Wirtschaftlichkeit!$V$8,IF(AND($C100&lt;=Wirtschaftlichkeit!$V$8,$C100&gt;=Wirtschaftlichkeit!$V$8*Eingabemaske!$B$18),$C100,"0"))</f>
        <v>0</v>
      </c>
      <c r="FB100" s="222">
        <v>6935</v>
      </c>
      <c r="FC100" s="224">
        <f t="shared" si="110"/>
        <v>0</v>
      </c>
      <c r="FD100" s="222">
        <v>6935</v>
      </c>
      <c r="FE100" s="226" t="str">
        <f t="shared" si="139"/>
        <v xml:space="preserve"> </v>
      </c>
      <c r="FF100" s="312">
        <v>6935</v>
      </c>
      <c r="FG100" s="286">
        <f>FA100*Wirtschaftlichkeit!$V$5/Wirtschaftlichkeit!$V$7</f>
        <v>0</v>
      </c>
      <c r="FH100" s="284">
        <f t="shared" si="112"/>
        <v>0</v>
      </c>
      <c r="FJ100" s="222">
        <v>6935</v>
      </c>
      <c r="FK100" s="225" t="str">
        <f>IF($C100&gt;=Wirtschaftlichkeit!$W$8,Wirtschaftlichkeit!$W$8,IF(AND($C100&lt;=Wirtschaftlichkeit!$W$8,$C100&gt;=Wirtschaftlichkeit!$W$8*Eingabemaske!$B$18),$C100,"0"))</f>
        <v>0</v>
      </c>
      <c r="FL100" s="222">
        <v>6935</v>
      </c>
      <c r="FM100" s="224">
        <f t="shared" si="113"/>
        <v>0</v>
      </c>
      <c r="FN100" s="222">
        <v>6935</v>
      </c>
      <c r="FO100" s="226" t="str">
        <f t="shared" si="140"/>
        <v xml:space="preserve"> </v>
      </c>
      <c r="FP100" s="312">
        <v>6935</v>
      </c>
      <c r="FQ100" s="286">
        <f>FK100*Wirtschaftlichkeit!$W$5/Wirtschaftlichkeit!$W$7</f>
        <v>0</v>
      </c>
      <c r="FR100" s="284">
        <f t="shared" si="115"/>
        <v>0</v>
      </c>
      <c r="FT100" s="222">
        <v>6935</v>
      </c>
      <c r="FU100" s="225" t="str">
        <f>IF($C100&gt;=Wirtschaftlichkeit!$X$8,Wirtschaftlichkeit!$X$8,IF(AND($C100&lt;=Wirtschaftlichkeit!$X$8,$C100&gt;=Wirtschaftlichkeit!$X$8*Eingabemaske!$B$18),$C100,"0"))</f>
        <v>0</v>
      </c>
      <c r="FV100" s="222">
        <v>6935</v>
      </c>
      <c r="FW100" s="224">
        <f t="shared" si="116"/>
        <v>0</v>
      </c>
      <c r="FX100" s="222">
        <v>6935</v>
      </c>
      <c r="FY100" s="226" t="str">
        <f t="shared" si="141"/>
        <v xml:space="preserve"> </v>
      </c>
      <c r="FZ100" s="312">
        <v>6935</v>
      </c>
      <c r="GA100" s="286">
        <f>FU100*Wirtschaftlichkeit!$X$5/Wirtschaftlichkeit!$X$7</f>
        <v>0</v>
      </c>
      <c r="GB100" s="284">
        <f t="shared" si="118"/>
        <v>0</v>
      </c>
      <c r="GD100" s="222">
        <v>6935</v>
      </c>
      <c r="GE100" s="225" t="str">
        <f>IF($C100&gt;=Wirtschaftlichkeit!$Y$8,Wirtschaftlichkeit!$Y$8,IF(AND($C100&lt;=Wirtschaftlichkeit!$Y$8,$C100&gt;=Wirtschaftlichkeit!$Y$8*Eingabemaske!$B$18),$C100,"0"))</f>
        <v>0</v>
      </c>
      <c r="GF100" s="222">
        <v>6935</v>
      </c>
      <c r="GG100" s="224">
        <f t="shared" si="119"/>
        <v>0</v>
      </c>
      <c r="GH100" s="222">
        <v>6935</v>
      </c>
      <c r="GI100" s="226" t="str">
        <f t="shared" si="142"/>
        <v xml:space="preserve"> </v>
      </c>
      <c r="GJ100" s="312">
        <v>6935</v>
      </c>
      <c r="GK100" s="286">
        <f>GE100*Wirtschaftlichkeit!$Y$5/Wirtschaftlichkeit!$Y$7</f>
        <v>0</v>
      </c>
      <c r="GL100" s="284">
        <f t="shared" si="121"/>
        <v>0</v>
      </c>
      <c r="GN100" s="222">
        <v>6935</v>
      </c>
      <c r="GO100" s="225" t="str">
        <f>IF($C100&gt;=Wirtschaftlichkeit!$Z$8,Wirtschaftlichkeit!$Z$8,IF(AND($C100&lt;=Wirtschaftlichkeit!$Z$8,$C100&gt;=Wirtschaftlichkeit!$Z$8*Eingabemaske!$B$18),$C100,"0"))</f>
        <v>0</v>
      </c>
      <c r="GP100" s="222">
        <v>6935</v>
      </c>
      <c r="GQ100" s="224">
        <f t="shared" si="122"/>
        <v>0</v>
      </c>
      <c r="GR100" s="222">
        <v>6935</v>
      </c>
      <c r="GS100" s="226" t="str">
        <f t="shared" si="143"/>
        <v xml:space="preserve"> </v>
      </c>
      <c r="GT100" s="312">
        <v>6935</v>
      </c>
      <c r="GU100" s="286">
        <f>GO100*Wirtschaftlichkeit!$Z$5/Wirtschaftlichkeit!$Z$7</f>
        <v>0</v>
      </c>
      <c r="GV100" s="284">
        <f t="shared" si="124"/>
        <v>0</v>
      </c>
      <c r="GW100" s="266"/>
      <c r="GX100" s="258">
        <v>6935</v>
      </c>
      <c r="GY100" s="270" t="str">
        <f>IF(Berechnung_Diagramme!$C$28=Berechnungen_Lastgang!$F$2,Berechnungen_Lastgang!G100,IF(Berechnung_Diagramme!$C$28=Berechnungen_Lastgang!$P$2,Berechnungen_Lastgang!Q100,IF(Berechnung_Diagramme!$C$28=Berechnungen_Lastgang!$Z$2,Berechnungen_Lastgang!AA100,IF(Berechnung_Diagramme!$C$28=Berechnungen_Lastgang!$AJ$2,Berechnungen_Lastgang!AK100,IF(Berechnung_Diagramme!$C$28=Berechnungen_Lastgang!$AT$2,Berechnungen_Lastgang!AU100,IF(Berechnung_Diagramme!$C$28=Berechnungen_Lastgang!$BD$2,Berechnungen_Lastgang!BE100,IF(Berechnung_Diagramme!$C$28=Berechnungen_Lastgang!$BN$2,Berechnungen_Lastgang!BO100,IF(Berechnung_Diagramme!$C$28=Berechnungen_Lastgang!$BX$2,Berechnungen_Lastgang!BY100,IF(Berechnung_Diagramme!$C$28=Berechnungen_Lastgang!$CH$2,Berechnungen_Lastgang!CI100,IF(Berechnung_Diagramme!$C$28=Berechnungen_Lastgang!$CR$2,Berechnungen_Lastgang!CS100,IF(Berechnung_Diagramme!$C$28=Berechnungen_Lastgang!$DB$2,Berechnungen_Lastgang!DC100,IF(Berechnung_Diagramme!$C$28=Berechnungen_Lastgang!$DL$2,Berechnungen_Lastgang!DM100,IF(Berechnung_Diagramme!$C$28=Berechnungen_Lastgang!$DV$2,Berechnungen_Lastgang!DW100,IF(Berechnung_Diagramme!$C$28=Berechnungen_Lastgang!$EF$2,Berechnungen_Lastgang!EG100,IF(Berechnung_Diagramme!$C$28=Berechnungen_Lastgang!$EP$2,Berechnungen_Lastgang!EQ100,IF(Berechnung_Diagramme!$C$28=Berechnungen_Lastgang!$EZ$2,Berechnungen_Lastgang!FA100,IF(Berechnung_Diagramme!$C$28=Berechnungen_Lastgang!$FJ$2,Berechnungen_Lastgang!FK100,IF(Berechnung_Diagramme!$C$28=Berechnungen_Lastgang!$FT$2,Berechnungen_Lastgang!FU100,IF(Berechnung_Diagramme!$C$28=Berechnungen_Lastgang!$GD$2,Berechnungen_Lastgang!GE100,IF(Berechnung_Diagramme!$C$28=Berechnungen_Lastgang!$GN$2,Berechnungen_Lastgang!GO100,""))))))))))))))))))))</f>
        <v>0</v>
      </c>
    </row>
    <row r="101" spans="2:207" x14ac:dyDescent="0.25">
      <c r="B101" s="64">
        <v>7008</v>
      </c>
      <c r="C101" s="67">
        <f>C100+((C105-C100)/(B105-B100))*(B101-B100)</f>
        <v>3.22506</v>
      </c>
      <c r="D101" s="66">
        <f t="shared" ref="D101:D124" si="144">73*((C101+C102)/2)</f>
        <v>229.98942000000002</v>
      </c>
      <c r="F101" s="64">
        <v>7008</v>
      </c>
      <c r="G101" s="225">
        <f>IF($C101&gt;=Wirtschaftlichkeit!$G$8,Wirtschaftlichkeit!$G$8,IF(AND($C101&lt;=Wirtschaftlichkeit!$G$8,$C101&gt;=Wirtschaftlichkeit!$G$8*Eingabemaske!$B$18),$C101,"0"))</f>
        <v>2.8333333333333335</v>
      </c>
      <c r="H101" s="64">
        <v>7008</v>
      </c>
      <c r="I101" s="66">
        <f t="shared" ref="I101:I124" si="145">73*((G101+G102)/2)</f>
        <v>206.83333333333334</v>
      </c>
      <c r="J101" s="64">
        <v>7008</v>
      </c>
      <c r="K101" s="71">
        <f t="shared" ref="K101:K125" si="146">IF(G101="0"," ",G101)</f>
        <v>2.8333333333333335</v>
      </c>
      <c r="L101" s="312">
        <v>7008</v>
      </c>
      <c r="M101" s="286">
        <f>G101*Wirtschaftlichkeit!$G$5/Wirtschaftlichkeit!$G$7</f>
        <v>1</v>
      </c>
      <c r="N101" s="284">
        <f t="shared" si="67"/>
        <v>73</v>
      </c>
      <c r="P101" s="222">
        <v>7008</v>
      </c>
      <c r="Q101" s="225">
        <f>IF($C101&gt;=Wirtschaftlichkeit!$H$8,Wirtschaftlichkeit!$H$8,IF(AND($C101&lt;=Wirtschaftlichkeit!$H$8,$C101&gt;=Wirtschaftlichkeit!$H$8*Eingabemaske!$B$18),$C101,"0"))</f>
        <v>3.22506</v>
      </c>
      <c r="R101" s="222">
        <v>7008</v>
      </c>
      <c r="S101" s="224">
        <f t="shared" si="68"/>
        <v>229.98942000000002</v>
      </c>
      <c r="T101" s="222">
        <v>7008</v>
      </c>
      <c r="U101" s="226">
        <f t="shared" si="125"/>
        <v>3.22506</v>
      </c>
      <c r="V101" s="312">
        <v>7008</v>
      </c>
      <c r="W101" s="286">
        <f>Q101*Wirtschaftlichkeit!$H$5/Wirtschaftlichkeit!$H$7</f>
        <v>1.1543572693726936</v>
      </c>
      <c r="X101" s="284">
        <f t="shared" si="70"/>
        <v>82.320936309963088</v>
      </c>
      <c r="Z101" s="222">
        <v>7008</v>
      </c>
      <c r="AA101" s="225" t="str">
        <f>IF($C101&gt;=Wirtschaftlichkeit!$I$8,Wirtschaftlichkeit!$I$8,IF(AND($C101&lt;=Wirtschaftlichkeit!$I$8,$C101&gt;=Wirtschaftlichkeit!$I$8*Eingabemaske!$B$18),$C101,"0"))</f>
        <v>0</v>
      </c>
      <c r="AB101" s="222">
        <v>7008</v>
      </c>
      <c r="AC101" s="224">
        <f t="shared" si="71"/>
        <v>0</v>
      </c>
      <c r="AD101" s="222">
        <v>7008</v>
      </c>
      <c r="AE101" s="226" t="str">
        <f t="shared" si="126"/>
        <v xml:space="preserve"> </v>
      </c>
      <c r="AF101" s="312">
        <v>7008</v>
      </c>
      <c r="AG101" s="286">
        <f>AA101*Wirtschaftlichkeit!$I$5/Wirtschaftlichkeit!$I$7</f>
        <v>0</v>
      </c>
      <c r="AH101" s="284">
        <f t="shared" si="73"/>
        <v>0</v>
      </c>
      <c r="AJ101" s="222">
        <v>7008</v>
      </c>
      <c r="AK101" s="225" t="str">
        <f>IF($C101&gt;=Wirtschaftlichkeit!$J$8,Wirtschaftlichkeit!$J$8,IF(AND($C101&lt;=Wirtschaftlichkeit!$J$8,$C101&gt;=Wirtschaftlichkeit!$J$8*Eingabemaske!$B$18),$C101,"0"))</f>
        <v>0</v>
      </c>
      <c r="AL101" s="222">
        <v>7008</v>
      </c>
      <c r="AM101" s="224">
        <f t="shared" si="74"/>
        <v>0</v>
      </c>
      <c r="AN101" s="222">
        <v>7008</v>
      </c>
      <c r="AO101" s="226" t="str">
        <f t="shared" si="127"/>
        <v xml:space="preserve"> </v>
      </c>
      <c r="AP101" s="312">
        <v>7008</v>
      </c>
      <c r="AQ101" s="286">
        <f>AK101*Wirtschaftlichkeit!$J$5/Wirtschaftlichkeit!$J$7</f>
        <v>0</v>
      </c>
      <c r="AR101" s="284">
        <f t="shared" si="76"/>
        <v>0</v>
      </c>
      <c r="AT101" s="222">
        <v>7008</v>
      </c>
      <c r="AU101" s="225" t="str">
        <f>IF($C101&gt;=Wirtschaftlichkeit!$K$8,Wirtschaftlichkeit!$K$8,IF(AND($C101&lt;=Wirtschaftlichkeit!$K$8,$C101&gt;=Wirtschaftlichkeit!$K$8*Eingabemaske!$B$18),$C101,"0"))</f>
        <v>0</v>
      </c>
      <c r="AV101" s="222">
        <v>7008</v>
      </c>
      <c r="AW101" s="224">
        <f t="shared" si="77"/>
        <v>0</v>
      </c>
      <c r="AX101" s="222">
        <v>7008</v>
      </c>
      <c r="AY101" s="226" t="str">
        <f t="shared" si="128"/>
        <v xml:space="preserve"> </v>
      </c>
      <c r="AZ101" s="312">
        <v>7008</v>
      </c>
      <c r="BA101" s="286">
        <f>AU101*Wirtschaftlichkeit!$K$5/Wirtschaftlichkeit!$K$7</f>
        <v>0</v>
      </c>
      <c r="BB101" s="284">
        <f t="shared" si="79"/>
        <v>0</v>
      </c>
      <c r="BD101" s="222">
        <v>7008</v>
      </c>
      <c r="BE101" s="225" t="str">
        <f>IF($C101&gt;=Wirtschaftlichkeit!$L$8,Wirtschaftlichkeit!$L$8,IF(AND($C101&lt;=Wirtschaftlichkeit!$L$8,$C101&gt;=Wirtschaftlichkeit!$L$8*Eingabemaske!$B$18),$C101,"0"))</f>
        <v>0</v>
      </c>
      <c r="BF101" s="222">
        <v>7008</v>
      </c>
      <c r="BG101" s="224">
        <f t="shared" si="80"/>
        <v>0</v>
      </c>
      <c r="BH101" s="222">
        <v>7008</v>
      </c>
      <c r="BI101" s="226" t="str">
        <f t="shared" si="129"/>
        <v xml:space="preserve"> </v>
      </c>
      <c r="BJ101" s="312">
        <v>7008</v>
      </c>
      <c r="BK101" s="286">
        <f>BE101*Wirtschaftlichkeit!$L$5/Wirtschaftlichkeit!$L$7</f>
        <v>0</v>
      </c>
      <c r="BL101" s="284">
        <f t="shared" si="82"/>
        <v>0</v>
      </c>
      <c r="BN101" s="222">
        <v>7008</v>
      </c>
      <c r="BO101" s="225" t="str">
        <f>IF($C101&gt;=Wirtschaftlichkeit!$M$8,Wirtschaftlichkeit!$M$8,IF(AND($C101&lt;=Wirtschaftlichkeit!$M$8,$C101&gt;=Wirtschaftlichkeit!$M$8*Eingabemaske!$B$18),$C101,"0"))</f>
        <v>0</v>
      </c>
      <c r="BP101" s="222">
        <v>7008</v>
      </c>
      <c r="BQ101" s="224">
        <f t="shared" si="83"/>
        <v>0</v>
      </c>
      <c r="BR101" s="222">
        <v>7008</v>
      </c>
      <c r="BS101" s="226" t="str">
        <f t="shared" si="130"/>
        <v xml:space="preserve"> </v>
      </c>
      <c r="BT101" s="312">
        <v>7008</v>
      </c>
      <c r="BU101" s="286">
        <f>BO101*Wirtschaftlichkeit!$M$5/Wirtschaftlichkeit!$M$7</f>
        <v>0</v>
      </c>
      <c r="BV101" s="284">
        <f t="shared" si="85"/>
        <v>0</v>
      </c>
      <c r="BX101" s="222">
        <v>7008</v>
      </c>
      <c r="BY101" s="225" t="str">
        <f>IF($C101&gt;=Wirtschaftlichkeit!$N$8,Wirtschaftlichkeit!$N$8,IF(AND($C101&lt;=Wirtschaftlichkeit!$N$8,$C101&gt;=Wirtschaftlichkeit!$N$8*Eingabemaske!$B$18),$C101,"0"))</f>
        <v>0</v>
      </c>
      <c r="BZ101" s="222">
        <v>7008</v>
      </c>
      <c r="CA101" s="224">
        <f t="shared" si="86"/>
        <v>0</v>
      </c>
      <c r="CB101" s="222">
        <v>7008</v>
      </c>
      <c r="CC101" s="226" t="str">
        <f t="shared" si="131"/>
        <v xml:space="preserve"> </v>
      </c>
      <c r="CD101" s="312">
        <v>7008</v>
      </c>
      <c r="CE101" s="286">
        <f>BY101*Wirtschaftlichkeit!$N$5/Wirtschaftlichkeit!$N$7</f>
        <v>0</v>
      </c>
      <c r="CF101" s="284">
        <f t="shared" si="88"/>
        <v>0</v>
      </c>
      <c r="CH101" s="222">
        <v>7008</v>
      </c>
      <c r="CI101" s="225" t="str">
        <f>IF($C101&gt;=Wirtschaftlichkeit!$O$8,Wirtschaftlichkeit!$O$8,IF(AND($C101&lt;=Wirtschaftlichkeit!$O$8,$C101&gt;=Wirtschaftlichkeit!$O$8*Eingabemaske!$B$18),$C101,"0"))</f>
        <v>0</v>
      </c>
      <c r="CJ101" s="222">
        <v>7008</v>
      </c>
      <c r="CK101" s="224">
        <f t="shared" si="89"/>
        <v>0</v>
      </c>
      <c r="CL101" s="222">
        <v>7008</v>
      </c>
      <c r="CM101" s="226" t="str">
        <f t="shared" si="132"/>
        <v xml:space="preserve"> </v>
      </c>
      <c r="CN101" s="312">
        <v>7008</v>
      </c>
      <c r="CO101" s="286">
        <f>CI101*Wirtschaftlichkeit!$O$5/Wirtschaftlichkeit!$O$7</f>
        <v>0</v>
      </c>
      <c r="CP101" s="284">
        <f t="shared" si="91"/>
        <v>0</v>
      </c>
      <c r="CR101" s="222">
        <v>7008</v>
      </c>
      <c r="CS101" s="225" t="str">
        <f>IF($C101&gt;=Wirtschaftlichkeit!$P$8,Wirtschaftlichkeit!$P$8,IF(AND($C101&lt;=Wirtschaftlichkeit!$P$8,$C101&gt;=Wirtschaftlichkeit!$P$8*Eingabemaske!$B$18),$C101,"0"))</f>
        <v>0</v>
      </c>
      <c r="CT101" s="222">
        <v>7008</v>
      </c>
      <c r="CU101" s="224">
        <f t="shared" si="92"/>
        <v>0</v>
      </c>
      <c r="CV101" s="222">
        <v>7008</v>
      </c>
      <c r="CW101" s="226" t="str">
        <f t="shared" si="133"/>
        <v xml:space="preserve"> </v>
      </c>
      <c r="CX101" s="312">
        <v>7008</v>
      </c>
      <c r="CY101" s="286">
        <f>CS101*Wirtschaftlichkeit!$P$5/Wirtschaftlichkeit!$P$7</f>
        <v>0</v>
      </c>
      <c r="CZ101" s="284">
        <f t="shared" si="94"/>
        <v>0</v>
      </c>
      <c r="DB101" s="222">
        <v>7008</v>
      </c>
      <c r="DC101" s="225" t="str">
        <f>IF($C101&gt;=Wirtschaftlichkeit!$Q$8,Wirtschaftlichkeit!$Q$8,IF(AND($C101&lt;=Wirtschaftlichkeit!$Q$8,$C101&gt;=Wirtschaftlichkeit!$Q$8*Eingabemaske!$B$18),$C101,"0"))</f>
        <v>0</v>
      </c>
      <c r="DD101" s="222">
        <v>7008</v>
      </c>
      <c r="DE101" s="224">
        <f t="shared" si="95"/>
        <v>0</v>
      </c>
      <c r="DF101" s="222">
        <v>7008</v>
      </c>
      <c r="DG101" s="226" t="str">
        <f t="shared" si="134"/>
        <v xml:space="preserve"> </v>
      </c>
      <c r="DH101" s="312">
        <v>7008</v>
      </c>
      <c r="DI101" s="286">
        <f>DC101*Wirtschaftlichkeit!$Q$5/Wirtschaftlichkeit!$Q$7</f>
        <v>0</v>
      </c>
      <c r="DJ101" s="284">
        <f t="shared" si="97"/>
        <v>0</v>
      </c>
      <c r="DL101" s="222">
        <v>7008</v>
      </c>
      <c r="DM101" s="225" t="str">
        <f>IF($C101&gt;=Wirtschaftlichkeit!$R$8,Wirtschaftlichkeit!$R$8,IF(AND($C101&lt;=Wirtschaftlichkeit!$R$8,$C101&gt;=Wirtschaftlichkeit!$R$8*Eingabemaske!$B$18),$C101,"0"))</f>
        <v>0</v>
      </c>
      <c r="DN101" s="222">
        <v>7008</v>
      </c>
      <c r="DO101" s="224">
        <f t="shared" si="98"/>
        <v>0</v>
      </c>
      <c r="DP101" s="222">
        <v>7008</v>
      </c>
      <c r="DQ101" s="226" t="str">
        <f t="shared" si="135"/>
        <v xml:space="preserve"> </v>
      </c>
      <c r="DR101" s="312">
        <v>7008</v>
      </c>
      <c r="DS101" s="286">
        <f>DM101*Wirtschaftlichkeit!$R$5/Wirtschaftlichkeit!$R$7</f>
        <v>0</v>
      </c>
      <c r="DT101" s="284">
        <f t="shared" si="100"/>
        <v>0</v>
      </c>
      <c r="DV101" s="222">
        <v>7008</v>
      </c>
      <c r="DW101" s="225" t="str">
        <f>IF($C101&gt;=Wirtschaftlichkeit!$S$8,Wirtschaftlichkeit!$S$8,IF(AND($C101&lt;=Wirtschaftlichkeit!$S$8,$C101&gt;=Wirtschaftlichkeit!$S$8*Eingabemaske!$B$18),$C101,"0"))</f>
        <v>0</v>
      </c>
      <c r="DX101" s="222">
        <v>7008</v>
      </c>
      <c r="DY101" s="224">
        <f t="shared" si="101"/>
        <v>0</v>
      </c>
      <c r="DZ101" s="222">
        <v>7008</v>
      </c>
      <c r="EA101" s="226" t="str">
        <f t="shared" si="136"/>
        <v xml:space="preserve"> </v>
      </c>
      <c r="EB101" s="312">
        <v>7008</v>
      </c>
      <c r="EC101" s="286">
        <f>DW101*Wirtschaftlichkeit!$S$5/Wirtschaftlichkeit!$S$7</f>
        <v>0</v>
      </c>
      <c r="ED101" s="284">
        <f t="shared" si="103"/>
        <v>0</v>
      </c>
      <c r="EF101" s="222">
        <v>7008</v>
      </c>
      <c r="EG101" s="225" t="str">
        <f>IF($C101&gt;=Wirtschaftlichkeit!$T$8,Wirtschaftlichkeit!$T$8,IF(AND($C101&lt;=Wirtschaftlichkeit!$T$8,$C101&gt;=Wirtschaftlichkeit!$T$8*Eingabemaske!$B$18),$C101,"0"))</f>
        <v>0</v>
      </c>
      <c r="EH101" s="222">
        <v>7008</v>
      </c>
      <c r="EI101" s="224">
        <f t="shared" si="104"/>
        <v>0</v>
      </c>
      <c r="EJ101" s="222">
        <v>7008</v>
      </c>
      <c r="EK101" s="226" t="str">
        <f t="shared" si="137"/>
        <v xml:space="preserve"> </v>
      </c>
      <c r="EL101" s="312">
        <v>7008</v>
      </c>
      <c r="EM101" s="286">
        <f>EG101*Wirtschaftlichkeit!$T$5/Wirtschaftlichkeit!$T$7</f>
        <v>0</v>
      </c>
      <c r="EN101" s="284">
        <f t="shared" si="106"/>
        <v>0</v>
      </c>
      <c r="EP101" s="222">
        <v>7008</v>
      </c>
      <c r="EQ101" s="225" t="str">
        <f>IF($C101&gt;=Wirtschaftlichkeit!$U$8,Wirtschaftlichkeit!$U$8,IF(AND($C101&lt;=Wirtschaftlichkeit!$U$8,$C101&gt;=Wirtschaftlichkeit!$U$8*Eingabemaske!$B$18),$C101,"0"))</f>
        <v>0</v>
      </c>
      <c r="ER101" s="222">
        <v>7008</v>
      </c>
      <c r="ES101" s="224">
        <f t="shared" si="107"/>
        <v>0</v>
      </c>
      <c r="ET101" s="222">
        <v>7008</v>
      </c>
      <c r="EU101" s="226" t="str">
        <f t="shared" si="138"/>
        <v xml:space="preserve"> </v>
      </c>
      <c r="EV101" s="312">
        <v>7008</v>
      </c>
      <c r="EW101" s="286">
        <f>EQ101*Wirtschaftlichkeit!$U$5/Wirtschaftlichkeit!$U$7</f>
        <v>0</v>
      </c>
      <c r="EX101" s="284">
        <f t="shared" si="109"/>
        <v>0</v>
      </c>
      <c r="EZ101" s="222">
        <v>7008</v>
      </c>
      <c r="FA101" s="225" t="str">
        <f>IF($C101&gt;=Wirtschaftlichkeit!$V$8,Wirtschaftlichkeit!$V$8,IF(AND($C101&lt;=Wirtschaftlichkeit!$V$8,$C101&gt;=Wirtschaftlichkeit!$V$8*Eingabemaske!$B$18),$C101,"0"))</f>
        <v>0</v>
      </c>
      <c r="FB101" s="222">
        <v>7008</v>
      </c>
      <c r="FC101" s="224">
        <f t="shared" si="110"/>
        <v>0</v>
      </c>
      <c r="FD101" s="222">
        <v>7008</v>
      </c>
      <c r="FE101" s="226" t="str">
        <f t="shared" si="139"/>
        <v xml:space="preserve"> </v>
      </c>
      <c r="FF101" s="312">
        <v>7008</v>
      </c>
      <c r="FG101" s="286">
        <f>FA101*Wirtschaftlichkeit!$V$5/Wirtschaftlichkeit!$V$7</f>
        <v>0</v>
      </c>
      <c r="FH101" s="284">
        <f t="shared" si="112"/>
        <v>0</v>
      </c>
      <c r="FJ101" s="222">
        <v>7008</v>
      </c>
      <c r="FK101" s="225" t="str">
        <f>IF($C101&gt;=Wirtschaftlichkeit!$W$8,Wirtschaftlichkeit!$W$8,IF(AND($C101&lt;=Wirtschaftlichkeit!$W$8,$C101&gt;=Wirtschaftlichkeit!$W$8*Eingabemaske!$B$18),$C101,"0"))</f>
        <v>0</v>
      </c>
      <c r="FL101" s="222">
        <v>7008</v>
      </c>
      <c r="FM101" s="224">
        <f t="shared" si="113"/>
        <v>0</v>
      </c>
      <c r="FN101" s="222">
        <v>7008</v>
      </c>
      <c r="FO101" s="226" t="str">
        <f t="shared" si="140"/>
        <v xml:space="preserve"> </v>
      </c>
      <c r="FP101" s="312">
        <v>7008</v>
      </c>
      <c r="FQ101" s="286">
        <f>FK101*Wirtschaftlichkeit!$W$5/Wirtschaftlichkeit!$W$7</f>
        <v>0</v>
      </c>
      <c r="FR101" s="284">
        <f t="shared" si="115"/>
        <v>0</v>
      </c>
      <c r="FT101" s="222">
        <v>7008</v>
      </c>
      <c r="FU101" s="225" t="str">
        <f>IF($C101&gt;=Wirtschaftlichkeit!$X$8,Wirtschaftlichkeit!$X$8,IF(AND($C101&lt;=Wirtschaftlichkeit!$X$8,$C101&gt;=Wirtschaftlichkeit!$X$8*Eingabemaske!$B$18),$C101,"0"))</f>
        <v>0</v>
      </c>
      <c r="FV101" s="222">
        <v>7008</v>
      </c>
      <c r="FW101" s="224">
        <f t="shared" si="116"/>
        <v>0</v>
      </c>
      <c r="FX101" s="222">
        <v>7008</v>
      </c>
      <c r="FY101" s="226" t="str">
        <f t="shared" si="141"/>
        <v xml:space="preserve"> </v>
      </c>
      <c r="FZ101" s="312">
        <v>7008</v>
      </c>
      <c r="GA101" s="286">
        <f>FU101*Wirtschaftlichkeit!$X$5/Wirtschaftlichkeit!$X$7</f>
        <v>0</v>
      </c>
      <c r="GB101" s="284">
        <f t="shared" si="118"/>
        <v>0</v>
      </c>
      <c r="GD101" s="222">
        <v>7008</v>
      </c>
      <c r="GE101" s="225" t="str">
        <f>IF($C101&gt;=Wirtschaftlichkeit!$Y$8,Wirtschaftlichkeit!$Y$8,IF(AND($C101&lt;=Wirtschaftlichkeit!$Y$8,$C101&gt;=Wirtschaftlichkeit!$Y$8*Eingabemaske!$B$18),$C101,"0"))</f>
        <v>0</v>
      </c>
      <c r="GF101" s="222">
        <v>7008</v>
      </c>
      <c r="GG101" s="224">
        <f t="shared" si="119"/>
        <v>0</v>
      </c>
      <c r="GH101" s="222">
        <v>7008</v>
      </c>
      <c r="GI101" s="226" t="str">
        <f t="shared" si="142"/>
        <v xml:space="preserve"> </v>
      </c>
      <c r="GJ101" s="312">
        <v>7008</v>
      </c>
      <c r="GK101" s="286">
        <f>GE101*Wirtschaftlichkeit!$Y$5/Wirtschaftlichkeit!$Y$7</f>
        <v>0</v>
      </c>
      <c r="GL101" s="284">
        <f t="shared" si="121"/>
        <v>0</v>
      </c>
      <c r="GN101" s="222">
        <v>7008</v>
      </c>
      <c r="GO101" s="225" t="str">
        <f>IF($C101&gt;=Wirtschaftlichkeit!$Z$8,Wirtschaftlichkeit!$Z$8,IF(AND($C101&lt;=Wirtschaftlichkeit!$Z$8,$C101&gt;=Wirtschaftlichkeit!$Z$8*Eingabemaske!$B$18),$C101,"0"))</f>
        <v>0</v>
      </c>
      <c r="GP101" s="222">
        <v>7008</v>
      </c>
      <c r="GQ101" s="224">
        <f t="shared" si="122"/>
        <v>0</v>
      </c>
      <c r="GR101" s="222">
        <v>7008</v>
      </c>
      <c r="GS101" s="226" t="str">
        <f t="shared" si="143"/>
        <v xml:space="preserve"> </v>
      </c>
      <c r="GT101" s="312">
        <v>7008</v>
      </c>
      <c r="GU101" s="286">
        <f>GO101*Wirtschaftlichkeit!$Z$5/Wirtschaftlichkeit!$Z$7</f>
        <v>0</v>
      </c>
      <c r="GV101" s="284">
        <f t="shared" si="124"/>
        <v>0</v>
      </c>
      <c r="GW101" s="266"/>
      <c r="GX101" s="258">
        <v>7008</v>
      </c>
      <c r="GY101" s="270" t="str">
        <f>IF(Berechnung_Diagramme!$C$28=Berechnungen_Lastgang!$F$2,Berechnungen_Lastgang!G101,IF(Berechnung_Diagramme!$C$28=Berechnungen_Lastgang!$P$2,Berechnungen_Lastgang!Q101,IF(Berechnung_Diagramme!$C$28=Berechnungen_Lastgang!$Z$2,Berechnungen_Lastgang!AA101,IF(Berechnung_Diagramme!$C$28=Berechnungen_Lastgang!$AJ$2,Berechnungen_Lastgang!AK101,IF(Berechnung_Diagramme!$C$28=Berechnungen_Lastgang!$AT$2,Berechnungen_Lastgang!AU101,IF(Berechnung_Diagramme!$C$28=Berechnungen_Lastgang!$BD$2,Berechnungen_Lastgang!BE101,IF(Berechnung_Diagramme!$C$28=Berechnungen_Lastgang!$BN$2,Berechnungen_Lastgang!BO101,IF(Berechnung_Diagramme!$C$28=Berechnungen_Lastgang!$BX$2,Berechnungen_Lastgang!BY101,IF(Berechnung_Diagramme!$C$28=Berechnungen_Lastgang!$CH$2,Berechnungen_Lastgang!CI101,IF(Berechnung_Diagramme!$C$28=Berechnungen_Lastgang!$CR$2,Berechnungen_Lastgang!CS101,IF(Berechnung_Diagramme!$C$28=Berechnungen_Lastgang!$DB$2,Berechnungen_Lastgang!DC101,IF(Berechnung_Diagramme!$C$28=Berechnungen_Lastgang!$DL$2,Berechnungen_Lastgang!DM101,IF(Berechnung_Diagramme!$C$28=Berechnungen_Lastgang!$DV$2,Berechnungen_Lastgang!DW101,IF(Berechnung_Diagramme!$C$28=Berechnungen_Lastgang!$EF$2,Berechnungen_Lastgang!EG101,IF(Berechnung_Diagramme!$C$28=Berechnungen_Lastgang!$EP$2,Berechnungen_Lastgang!EQ101,IF(Berechnung_Diagramme!$C$28=Berechnungen_Lastgang!$EZ$2,Berechnungen_Lastgang!FA101,IF(Berechnung_Diagramme!$C$28=Berechnungen_Lastgang!$FJ$2,Berechnungen_Lastgang!FK101,IF(Berechnung_Diagramme!$C$28=Berechnungen_Lastgang!$FT$2,Berechnungen_Lastgang!FU101,IF(Berechnung_Diagramme!$C$28=Berechnungen_Lastgang!$GD$2,Berechnungen_Lastgang!GE101,IF(Berechnung_Diagramme!$C$28=Berechnungen_Lastgang!$GN$2,Berechnungen_Lastgang!GO101,""))))))))))))))))))))</f>
        <v>0</v>
      </c>
    </row>
    <row r="102" spans="2:207" x14ac:dyDescent="0.25">
      <c r="B102" s="64">
        <v>7081</v>
      </c>
      <c r="C102" s="67">
        <f>C101+((C105-C101)/(B105-B101))*(B102-B101)</f>
        <v>3.0760200000000002</v>
      </c>
      <c r="D102" s="66">
        <f t="shared" si="144"/>
        <v>219.1095</v>
      </c>
      <c r="F102" s="64">
        <v>7081</v>
      </c>
      <c r="G102" s="225">
        <f>IF($C102&gt;=Wirtschaftlichkeit!$G$8,Wirtschaftlichkeit!$G$8,IF(AND($C102&lt;=Wirtschaftlichkeit!$G$8,$C102&gt;=Wirtschaftlichkeit!$G$8*Eingabemaske!$B$18),$C102,"0"))</f>
        <v>2.8333333333333335</v>
      </c>
      <c r="H102" s="64">
        <v>7081</v>
      </c>
      <c r="I102" s="66">
        <f t="shared" si="145"/>
        <v>206.83333333333334</v>
      </c>
      <c r="J102" s="64">
        <v>7081</v>
      </c>
      <c r="K102" s="71">
        <f t="shared" si="146"/>
        <v>2.8333333333333335</v>
      </c>
      <c r="L102" s="312">
        <v>7081</v>
      </c>
      <c r="M102" s="286">
        <f>G102*Wirtschaftlichkeit!$G$5/Wirtschaftlichkeit!$G$7</f>
        <v>1</v>
      </c>
      <c r="N102" s="284">
        <f t="shared" si="67"/>
        <v>73</v>
      </c>
      <c r="P102" s="222">
        <v>7081</v>
      </c>
      <c r="Q102" s="225">
        <f>IF($C102&gt;=Wirtschaftlichkeit!$H$8,Wirtschaftlichkeit!$H$8,IF(AND($C102&lt;=Wirtschaftlichkeit!$H$8,$C102&gt;=Wirtschaftlichkeit!$H$8*Eingabemaske!$B$18),$C102,"0"))</f>
        <v>3.0760200000000002</v>
      </c>
      <c r="R102" s="222">
        <v>7081</v>
      </c>
      <c r="S102" s="224">
        <f t="shared" si="68"/>
        <v>219.1095</v>
      </c>
      <c r="T102" s="222">
        <v>7081</v>
      </c>
      <c r="U102" s="226">
        <f t="shared" si="125"/>
        <v>3.0760200000000002</v>
      </c>
      <c r="V102" s="312">
        <v>7081</v>
      </c>
      <c r="W102" s="286">
        <f>Q102*Wirtschaftlichkeit!$H$5/Wirtschaftlichkeit!$H$7</f>
        <v>1.1010108487084871</v>
      </c>
      <c r="X102" s="284">
        <f t="shared" si="70"/>
        <v>78.426647601476006</v>
      </c>
      <c r="Z102" s="222">
        <v>7081</v>
      </c>
      <c r="AA102" s="225" t="str">
        <f>IF($C102&gt;=Wirtschaftlichkeit!$I$8,Wirtschaftlichkeit!$I$8,IF(AND($C102&lt;=Wirtschaftlichkeit!$I$8,$C102&gt;=Wirtschaftlichkeit!$I$8*Eingabemaske!$B$18),$C102,"0"))</f>
        <v>0</v>
      </c>
      <c r="AB102" s="222">
        <v>7081</v>
      </c>
      <c r="AC102" s="224">
        <f t="shared" si="71"/>
        <v>0</v>
      </c>
      <c r="AD102" s="222">
        <v>7081</v>
      </c>
      <c r="AE102" s="226" t="str">
        <f t="shared" si="126"/>
        <v xml:space="preserve"> </v>
      </c>
      <c r="AF102" s="312">
        <v>7081</v>
      </c>
      <c r="AG102" s="286">
        <f>AA102*Wirtschaftlichkeit!$I$5/Wirtschaftlichkeit!$I$7</f>
        <v>0</v>
      </c>
      <c r="AH102" s="284">
        <f t="shared" si="73"/>
        <v>0</v>
      </c>
      <c r="AJ102" s="222">
        <v>7081</v>
      </c>
      <c r="AK102" s="225" t="str">
        <f>IF($C102&gt;=Wirtschaftlichkeit!$J$8,Wirtschaftlichkeit!$J$8,IF(AND($C102&lt;=Wirtschaftlichkeit!$J$8,$C102&gt;=Wirtschaftlichkeit!$J$8*Eingabemaske!$B$18),$C102,"0"))</f>
        <v>0</v>
      </c>
      <c r="AL102" s="222">
        <v>7081</v>
      </c>
      <c r="AM102" s="224">
        <f t="shared" si="74"/>
        <v>0</v>
      </c>
      <c r="AN102" s="222">
        <v>7081</v>
      </c>
      <c r="AO102" s="226" t="str">
        <f t="shared" si="127"/>
        <v xml:space="preserve"> </v>
      </c>
      <c r="AP102" s="312">
        <v>7081</v>
      </c>
      <c r="AQ102" s="286">
        <f>AK102*Wirtschaftlichkeit!$J$5/Wirtschaftlichkeit!$J$7</f>
        <v>0</v>
      </c>
      <c r="AR102" s="284">
        <f t="shared" si="76"/>
        <v>0</v>
      </c>
      <c r="AT102" s="222">
        <v>7081</v>
      </c>
      <c r="AU102" s="225" t="str">
        <f>IF($C102&gt;=Wirtschaftlichkeit!$K$8,Wirtschaftlichkeit!$K$8,IF(AND($C102&lt;=Wirtschaftlichkeit!$K$8,$C102&gt;=Wirtschaftlichkeit!$K$8*Eingabemaske!$B$18),$C102,"0"))</f>
        <v>0</v>
      </c>
      <c r="AV102" s="222">
        <v>7081</v>
      </c>
      <c r="AW102" s="224">
        <f t="shared" si="77"/>
        <v>0</v>
      </c>
      <c r="AX102" s="222">
        <v>7081</v>
      </c>
      <c r="AY102" s="226" t="str">
        <f t="shared" si="128"/>
        <v xml:space="preserve"> </v>
      </c>
      <c r="AZ102" s="312">
        <v>7081</v>
      </c>
      <c r="BA102" s="286">
        <f>AU102*Wirtschaftlichkeit!$K$5/Wirtschaftlichkeit!$K$7</f>
        <v>0</v>
      </c>
      <c r="BB102" s="284">
        <f t="shared" si="79"/>
        <v>0</v>
      </c>
      <c r="BD102" s="222">
        <v>7081</v>
      </c>
      <c r="BE102" s="225" t="str">
        <f>IF($C102&gt;=Wirtschaftlichkeit!$L$8,Wirtschaftlichkeit!$L$8,IF(AND($C102&lt;=Wirtschaftlichkeit!$L$8,$C102&gt;=Wirtschaftlichkeit!$L$8*Eingabemaske!$B$18),$C102,"0"))</f>
        <v>0</v>
      </c>
      <c r="BF102" s="222">
        <v>7081</v>
      </c>
      <c r="BG102" s="224">
        <f t="shared" si="80"/>
        <v>0</v>
      </c>
      <c r="BH102" s="222">
        <v>7081</v>
      </c>
      <c r="BI102" s="226" t="str">
        <f t="shared" si="129"/>
        <v xml:space="preserve"> </v>
      </c>
      <c r="BJ102" s="312">
        <v>7081</v>
      </c>
      <c r="BK102" s="286">
        <f>BE102*Wirtschaftlichkeit!$L$5/Wirtschaftlichkeit!$L$7</f>
        <v>0</v>
      </c>
      <c r="BL102" s="284">
        <f t="shared" si="82"/>
        <v>0</v>
      </c>
      <c r="BN102" s="222">
        <v>7081</v>
      </c>
      <c r="BO102" s="225" t="str">
        <f>IF($C102&gt;=Wirtschaftlichkeit!$M$8,Wirtschaftlichkeit!$M$8,IF(AND($C102&lt;=Wirtschaftlichkeit!$M$8,$C102&gt;=Wirtschaftlichkeit!$M$8*Eingabemaske!$B$18),$C102,"0"))</f>
        <v>0</v>
      </c>
      <c r="BP102" s="222">
        <v>7081</v>
      </c>
      <c r="BQ102" s="224">
        <f t="shared" si="83"/>
        <v>0</v>
      </c>
      <c r="BR102" s="222">
        <v>7081</v>
      </c>
      <c r="BS102" s="226" t="str">
        <f t="shared" si="130"/>
        <v xml:space="preserve"> </v>
      </c>
      <c r="BT102" s="312">
        <v>7081</v>
      </c>
      <c r="BU102" s="286">
        <f>BO102*Wirtschaftlichkeit!$M$5/Wirtschaftlichkeit!$M$7</f>
        <v>0</v>
      </c>
      <c r="BV102" s="284">
        <f t="shared" si="85"/>
        <v>0</v>
      </c>
      <c r="BX102" s="222">
        <v>7081</v>
      </c>
      <c r="BY102" s="225" t="str">
        <f>IF($C102&gt;=Wirtschaftlichkeit!$N$8,Wirtschaftlichkeit!$N$8,IF(AND($C102&lt;=Wirtschaftlichkeit!$N$8,$C102&gt;=Wirtschaftlichkeit!$N$8*Eingabemaske!$B$18),$C102,"0"))</f>
        <v>0</v>
      </c>
      <c r="BZ102" s="222">
        <v>7081</v>
      </c>
      <c r="CA102" s="224">
        <f t="shared" si="86"/>
        <v>0</v>
      </c>
      <c r="CB102" s="222">
        <v>7081</v>
      </c>
      <c r="CC102" s="226" t="str">
        <f t="shared" si="131"/>
        <v xml:space="preserve"> </v>
      </c>
      <c r="CD102" s="312">
        <v>7081</v>
      </c>
      <c r="CE102" s="286">
        <f>BY102*Wirtschaftlichkeit!$N$5/Wirtschaftlichkeit!$N$7</f>
        <v>0</v>
      </c>
      <c r="CF102" s="284">
        <f t="shared" si="88"/>
        <v>0</v>
      </c>
      <c r="CH102" s="222">
        <v>7081</v>
      </c>
      <c r="CI102" s="225" t="str">
        <f>IF($C102&gt;=Wirtschaftlichkeit!$O$8,Wirtschaftlichkeit!$O$8,IF(AND($C102&lt;=Wirtschaftlichkeit!$O$8,$C102&gt;=Wirtschaftlichkeit!$O$8*Eingabemaske!$B$18),$C102,"0"))</f>
        <v>0</v>
      </c>
      <c r="CJ102" s="222">
        <v>7081</v>
      </c>
      <c r="CK102" s="224">
        <f t="shared" si="89"/>
        <v>0</v>
      </c>
      <c r="CL102" s="222">
        <v>7081</v>
      </c>
      <c r="CM102" s="226" t="str">
        <f t="shared" si="132"/>
        <v xml:space="preserve"> </v>
      </c>
      <c r="CN102" s="312">
        <v>7081</v>
      </c>
      <c r="CO102" s="286">
        <f>CI102*Wirtschaftlichkeit!$O$5/Wirtschaftlichkeit!$O$7</f>
        <v>0</v>
      </c>
      <c r="CP102" s="284">
        <f t="shared" si="91"/>
        <v>0</v>
      </c>
      <c r="CR102" s="222">
        <v>7081</v>
      </c>
      <c r="CS102" s="225" t="str">
        <f>IF($C102&gt;=Wirtschaftlichkeit!$P$8,Wirtschaftlichkeit!$P$8,IF(AND($C102&lt;=Wirtschaftlichkeit!$P$8,$C102&gt;=Wirtschaftlichkeit!$P$8*Eingabemaske!$B$18),$C102,"0"))</f>
        <v>0</v>
      </c>
      <c r="CT102" s="222">
        <v>7081</v>
      </c>
      <c r="CU102" s="224">
        <f t="shared" si="92"/>
        <v>0</v>
      </c>
      <c r="CV102" s="222">
        <v>7081</v>
      </c>
      <c r="CW102" s="226" t="str">
        <f t="shared" si="133"/>
        <v xml:space="preserve"> </v>
      </c>
      <c r="CX102" s="312">
        <v>7081</v>
      </c>
      <c r="CY102" s="286">
        <f>CS102*Wirtschaftlichkeit!$P$5/Wirtschaftlichkeit!$P$7</f>
        <v>0</v>
      </c>
      <c r="CZ102" s="284">
        <f t="shared" si="94"/>
        <v>0</v>
      </c>
      <c r="DB102" s="222">
        <v>7081</v>
      </c>
      <c r="DC102" s="225" t="str">
        <f>IF($C102&gt;=Wirtschaftlichkeit!$Q$8,Wirtschaftlichkeit!$Q$8,IF(AND($C102&lt;=Wirtschaftlichkeit!$Q$8,$C102&gt;=Wirtschaftlichkeit!$Q$8*Eingabemaske!$B$18),$C102,"0"))</f>
        <v>0</v>
      </c>
      <c r="DD102" s="222">
        <v>7081</v>
      </c>
      <c r="DE102" s="224">
        <f t="shared" si="95"/>
        <v>0</v>
      </c>
      <c r="DF102" s="222">
        <v>7081</v>
      </c>
      <c r="DG102" s="226" t="str">
        <f t="shared" si="134"/>
        <v xml:space="preserve"> </v>
      </c>
      <c r="DH102" s="312">
        <v>7081</v>
      </c>
      <c r="DI102" s="286">
        <f>DC102*Wirtschaftlichkeit!$Q$5/Wirtschaftlichkeit!$Q$7</f>
        <v>0</v>
      </c>
      <c r="DJ102" s="284">
        <f t="shared" si="97"/>
        <v>0</v>
      </c>
      <c r="DL102" s="222">
        <v>7081</v>
      </c>
      <c r="DM102" s="225" t="str">
        <f>IF($C102&gt;=Wirtschaftlichkeit!$R$8,Wirtschaftlichkeit!$R$8,IF(AND($C102&lt;=Wirtschaftlichkeit!$R$8,$C102&gt;=Wirtschaftlichkeit!$R$8*Eingabemaske!$B$18),$C102,"0"))</f>
        <v>0</v>
      </c>
      <c r="DN102" s="222">
        <v>7081</v>
      </c>
      <c r="DO102" s="224">
        <f t="shared" si="98"/>
        <v>0</v>
      </c>
      <c r="DP102" s="222">
        <v>7081</v>
      </c>
      <c r="DQ102" s="226" t="str">
        <f t="shared" si="135"/>
        <v xml:space="preserve"> </v>
      </c>
      <c r="DR102" s="312">
        <v>7081</v>
      </c>
      <c r="DS102" s="286">
        <f>DM102*Wirtschaftlichkeit!$R$5/Wirtschaftlichkeit!$R$7</f>
        <v>0</v>
      </c>
      <c r="DT102" s="284">
        <f t="shared" si="100"/>
        <v>0</v>
      </c>
      <c r="DV102" s="222">
        <v>7081</v>
      </c>
      <c r="DW102" s="225" t="str">
        <f>IF($C102&gt;=Wirtschaftlichkeit!$S$8,Wirtschaftlichkeit!$S$8,IF(AND($C102&lt;=Wirtschaftlichkeit!$S$8,$C102&gt;=Wirtschaftlichkeit!$S$8*Eingabemaske!$B$18),$C102,"0"))</f>
        <v>0</v>
      </c>
      <c r="DX102" s="222">
        <v>7081</v>
      </c>
      <c r="DY102" s="224">
        <f t="shared" si="101"/>
        <v>0</v>
      </c>
      <c r="DZ102" s="222">
        <v>7081</v>
      </c>
      <c r="EA102" s="226" t="str">
        <f t="shared" si="136"/>
        <v xml:space="preserve"> </v>
      </c>
      <c r="EB102" s="312">
        <v>7081</v>
      </c>
      <c r="EC102" s="286">
        <f>DW102*Wirtschaftlichkeit!$S$5/Wirtschaftlichkeit!$S$7</f>
        <v>0</v>
      </c>
      <c r="ED102" s="284">
        <f t="shared" si="103"/>
        <v>0</v>
      </c>
      <c r="EF102" s="222">
        <v>7081</v>
      </c>
      <c r="EG102" s="225" t="str">
        <f>IF($C102&gt;=Wirtschaftlichkeit!$T$8,Wirtschaftlichkeit!$T$8,IF(AND($C102&lt;=Wirtschaftlichkeit!$T$8,$C102&gt;=Wirtschaftlichkeit!$T$8*Eingabemaske!$B$18),$C102,"0"))</f>
        <v>0</v>
      </c>
      <c r="EH102" s="222">
        <v>7081</v>
      </c>
      <c r="EI102" s="224">
        <f t="shared" si="104"/>
        <v>0</v>
      </c>
      <c r="EJ102" s="222">
        <v>7081</v>
      </c>
      <c r="EK102" s="226" t="str">
        <f t="shared" si="137"/>
        <v xml:space="preserve"> </v>
      </c>
      <c r="EL102" s="312">
        <v>7081</v>
      </c>
      <c r="EM102" s="286">
        <f>EG102*Wirtschaftlichkeit!$T$5/Wirtschaftlichkeit!$T$7</f>
        <v>0</v>
      </c>
      <c r="EN102" s="284">
        <f t="shared" si="106"/>
        <v>0</v>
      </c>
      <c r="EP102" s="222">
        <v>7081</v>
      </c>
      <c r="EQ102" s="225" t="str">
        <f>IF($C102&gt;=Wirtschaftlichkeit!$U$8,Wirtschaftlichkeit!$U$8,IF(AND($C102&lt;=Wirtschaftlichkeit!$U$8,$C102&gt;=Wirtschaftlichkeit!$U$8*Eingabemaske!$B$18),$C102,"0"))</f>
        <v>0</v>
      </c>
      <c r="ER102" s="222">
        <v>7081</v>
      </c>
      <c r="ES102" s="224">
        <f t="shared" si="107"/>
        <v>0</v>
      </c>
      <c r="ET102" s="222">
        <v>7081</v>
      </c>
      <c r="EU102" s="226" t="str">
        <f t="shared" si="138"/>
        <v xml:space="preserve"> </v>
      </c>
      <c r="EV102" s="312">
        <v>7081</v>
      </c>
      <c r="EW102" s="286">
        <f>EQ102*Wirtschaftlichkeit!$U$5/Wirtschaftlichkeit!$U$7</f>
        <v>0</v>
      </c>
      <c r="EX102" s="284">
        <f t="shared" si="109"/>
        <v>0</v>
      </c>
      <c r="EZ102" s="222">
        <v>7081</v>
      </c>
      <c r="FA102" s="225" t="str">
        <f>IF($C102&gt;=Wirtschaftlichkeit!$V$8,Wirtschaftlichkeit!$V$8,IF(AND($C102&lt;=Wirtschaftlichkeit!$V$8,$C102&gt;=Wirtschaftlichkeit!$V$8*Eingabemaske!$B$18),$C102,"0"))</f>
        <v>0</v>
      </c>
      <c r="FB102" s="222">
        <v>7081</v>
      </c>
      <c r="FC102" s="224">
        <f t="shared" si="110"/>
        <v>0</v>
      </c>
      <c r="FD102" s="222">
        <v>7081</v>
      </c>
      <c r="FE102" s="226" t="str">
        <f t="shared" si="139"/>
        <v xml:space="preserve"> </v>
      </c>
      <c r="FF102" s="312">
        <v>7081</v>
      </c>
      <c r="FG102" s="286">
        <f>FA102*Wirtschaftlichkeit!$V$5/Wirtschaftlichkeit!$V$7</f>
        <v>0</v>
      </c>
      <c r="FH102" s="284">
        <f t="shared" si="112"/>
        <v>0</v>
      </c>
      <c r="FJ102" s="222">
        <v>7081</v>
      </c>
      <c r="FK102" s="225" t="str">
        <f>IF($C102&gt;=Wirtschaftlichkeit!$W$8,Wirtschaftlichkeit!$W$8,IF(AND($C102&lt;=Wirtschaftlichkeit!$W$8,$C102&gt;=Wirtschaftlichkeit!$W$8*Eingabemaske!$B$18),$C102,"0"))</f>
        <v>0</v>
      </c>
      <c r="FL102" s="222">
        <v>7081</v>
      </c>
      <c r="FM102" s="224">
        <f t="shared" si="113"/>
        <v>0</v>
      </c>
      <c r="FN102" s="222">
        <v>7081</v>
      </c>
      <c r="FO102" s="226" t="str">
        <f t="shared" si="140"/>
        <v xml:space="preserve"> </v>
      </c>
      <c r="FP102" s="312">
        <v>7081</v>
      </c>
      <c r="FQ102" s="286">
        <f>FK102*Wirtschaftlichkeit!$W$5/Wirtschaftlichkeit!$W$7</f>
        <v>0</v>
      </c>
      <c r="FR102" s="284">
        <f t="shared" si="115"/>
        <v>0</v>
      </c>
      <c r="FT102" s="222">
        <v>7081</v>
      </c>
      <c r="FU102" s="225" t="str">
        <f>IF($C102&gt;=Wirtschaftlichkeit!$X$8,Wirtschaftlichkeit!$X$8,IF(AND($C102&lt;=Wirtschaftlichkeit!$X$8,$C102&gt;=Wirtschaftlichkeit!$X$8*Eingabemaske!$B$18),$C102,"0"))</f>
        <v>0</v>
      </c>
      <c r="FV102" s="222">
        <v>7081</v>
      </c>
      <c r="FW102" s="224">
        <f t="shared" si="116"/>
        <v>0</v>
      </c>
      <c r="FX102" s="222">
        <v>7081</v>
      </c>
      <c r="FY102" s="226" t="str">
        <f t="shared" si="141"/>
        <v xml:space="preserve"> </v>
      </c>
      <c r="FZ102" s="312">
        <v>7081</v>
      </c>
      <c r="GA102" s="286">
        <f>FU102*Wirtschaftlichkeit!$X$5/Wirtschaftlichkeit!$X$7</f>
        <v>0</v>
      </c>
      <c r="GB102" s="284">
        <f t="shared" si="118"/>
        <v>0</v>
      </c>
      <c r="GD102" s="222">
        <v>7081</v>
      </c>
      <c r="GE102" s="225" t="str">
        <f>IF($C102&gt;=Wirtschaftlichkeit!$Y$8,Wirtschaftlichkeit!$Y$8,IF(AND($C102&lt;=Wirtschaftlichkeit!$Y$8,$C102&gt;=Wirtschaftlichkeit!$Y$8*Eingabemaske!$B$18),$C102,"0"))</f>
        <v>0</v>
      </c>
      <c r="GF102" s="222">
        <v>7081</v>
      </c>
      <c r="GG102" s="224">
        <f t="shared" si="119"/>
        <v>0</v>
      </c>
      <c r="GH102" s="222">
        <v>7081</v>
      </c>
      <c r="GI102" s="226" t="str">
        <f t="shared" si="142"/>
        <v xml:space="preserve"> </v>
      </c>
      <c r="GJ102" s="312">
        <v>7081</v>
      </c>
      <c r="GK102" s="286">
        <f>GE102*Wirtschaftlichkeit!$Y$5/Wirtschaftlichkeit!$Y$7</f>
        <v>0</v>
      </c>
      <c r="GL102" s="284">
        <f t="shared" si="121"/>
        <v>0</v>
      </c>
      <c r="GN102" s="222">
        <v>7081</v>
      </c>
      <c r="GO102" s="225" t="str">
        <f>IF($C102&gt;=Wirtschaftlichkeit!$Z$8,Wirtschaftlichkeit!$Z$8,IF(AND($C102&lt;=Wirtschaftlichkeit!$Z$8,$C102&gt;=Wirtschaftlichkeit!$Z$8*Eingabemaske!$B$18),$C102,"0"))</f>
        <v>0</v>
      </c>
      <c r="GP102" s="222">
        <v>7081</v>
      </c>
      <c r="GQ102" s="224">
        <f t="shared" si="122"/>
        <v>0</v>
      </c>
      <c r="GR102" s="222">
        <v>7081</v>
      </c>
      <c r="GS102" s="226" t="str">
        <f t="shared" si="143"/>
        <v xml:space="preserve"> </v>
      </c>
      <c r="GT102" s="312">
        <v>7081</v>
      </c>
      <c r="GU102" s="286">
        <f>GO102*Wirtschaftlichkeit!$Z$5/Wirtschaftlichkeit!$Z$7</f>
        <v>0</v>
      </c>
      <c r="GV102" s="284">
        <f t="shared" si="124"/>
        <v>0</v>
      </c>
      <c r="GW102" s="266"/>
      <c r="GX102" s="258">
        <v>7081</v>
      </c>
      <c r="GY102" s="270" t="str">
        <f>IF(Berechnung_Diagramme!$C$28=Berechnungen_Lastgang!$F$2,Berechnungen_Lastgang!G102,IF(Berechnung_Diagramme!$C$28=Berechnungen_Lastgang!$P$2,Berechnungen_Lastgang!Q102,IF(Berechnung_Diagramme!$C$28=Berechnungen_Lastgang!$Z$2,Berechnungen_Lastgang!AA102,IF(Berechnung_Diagramme!$C$28=Berechnungen_Lastgang!$AJ$2,Berechnungen_Lastgang!AK102,IF(Berechnung_Diagramme!$C$28=Berechnungen_Lastgang!$AT$2,Berechnungen_Lastgang!AU102,IF(Berechnung_Diagramme!$C$28=Berechnungen_Lastgang!$BD$2,Berechnungen_Lastgang!BE102,IF(Berechnung_Diagramme!$C$28=Berechnungen_Lastgang!$BN$2,Berechnungen_Lastgang!BO102,IF(Berechnung_Diagramme!$C$28=Berechnungen_Lastgang!$BX$2,Berechnungen_Lastgang!BY102,IF(Berechnung_Diagramme!$C$28=Berechnungen_Lastgang!$CH$2,Berechnungen_Lastgang!CI102,IF(Berechnung_Diagramme!$C$28=Berechnungen_Lastgang!$CR$2,Berechnungen_Lastgang!CS102,IF(Berechnung_Diagramme!$C$28=Berechnungen_Lastgang!$DB$2,Berechnungen_Lastgang!DC102,IF(Berechnung_Diagramme!$C$28=Berechnungen_Lastgang!$DL$2,Berechnungen_Lastgang!DM102,IF(Berechnung_Diagramme!$C$28=Berechnungen_Lastgang!$DV$2,Berechnungen_Lastgang!DW102,IF(Berechnung_Diagramme!$C$28=Berechnungen_Lastgang!$EF$2,Berechnungen_Lastgang!EG102,IF(Berechnung_Diagramme!$C$28=Berechnungen_Lastgang!$EP$2,Berechnungen_Lastgang!EQ102,IF(Berechnung_Diagramme!$C$28=Berechnungen_Lastgang!$EZ$2,Berechnungen_Lastgang!FA102,IF(Berechnung_Diagramme!$C$28=Berechnungen_Lastgang!$FJ$2,Berechnungen_Lastgang!FK102,IF(Berechnung_Diagramme!$C$28=Berechnungen_Lastgang!$FT$2,Berechnungen_Lastgang!FU102,IF(Berechnung_Diagramme!$C$28=Berechnungen_Lastgang!$GD$2,Berechnungen_Lastgang!GE102,IF(Berechnung_Diagramme!$C$28=Berechnungen_Lastgang!$GN$2,Berechnungen_Lastgang!GO102,""))))))))))))))))))))</f>
        <v>0</v>
      </c>
    </row>
    <row r="103" spans="2:207" x14ac:dyDescent="0.25">
      <c r="B103" s="64">
        <v>7154</v>
      </c>
      <c r="C103" s="67">
        <f>C102+((C105-C102)/(B105-B102))*(B103-B102)</f>
        <v>2.9269799999999999</v>
      </c>
      <c r="D103" s="66">
        <f t="shared" si="144"/>
        <v>208.22957999999997</v>
      </c>
      <c r="F103" s="64">
        <v>7154</v>
      </c>
      <c r="G103" s="225">
        <f>IF($C103&gt;=Wirtschaftlichkeit!$G$8,Wirtschaftlichkeit!$G$8,IF(AND($C103&lt;=Wirtschaftlichkeit!$G$8,$C103&gt;=Wirtschaftlichkeit!$G$8*Eingabemaske!$B$18),$C103,"0"))</f>
        <v>2.8333333333333335</v>
      </c>
      <c r="H103" s="64">
        <v>7154</v>
      </c>
      <c r="I103" s="66">
        <f t="shared" si="145"/>
        <v>204.81147666666666</v>
      </c>
      <c r="J103" s="64">
        <v>7154</v>
      </c>
      <c r="K103" s="71">
        <f t="shared" si="146"/>
        <v>2.8333333333333335</v>
      </c>
      <c r="L103" s="312">
        <v>7154</v>
      </c>
      <c r="M103" s="286">
        <f>G103*Wirtschaftlichkeit!$G$5/Wirtschaftlichkeit!$G$7</f>
        <v>1</v>
      </c>
      <c r="N103" s="284">
        <f t="shared" si="67"/>
        <v>72.286403529411757</v>
      </c>
      <c r="P103" s="222">
        <v>7154</v>
      </c>
      <c r="Q103" s="225">
        <f>IF($C103&gt;=Wirtschaftlichkeit!$H$8,Wirtschaftlichkeit!$H$8,IF(AND($C103&lt;=Wirtschaftlichkeit!$H$8,$C103&gt;=Wirtschaftlichkeit!$H$8*Eingabemaske!$B$18),$C103,"0"))</f>
        <v>2.9269799999999999</v>
      </c>
      <c r="R103" s="222">
        <v>7154</v>
      </c>
      <c r="S103" s="224">
        <f t="shared" si="68"/>
        <v>106.83476999999999</v>
      </c>
      <c r="T103" s="222">
        <v>7154</v>
      </c>
      <c r="U103" s="226">
        <f t="shared" si="125"/>
        <v>2.9269799999999999</v>
      </c>
      <c r="V103" s="312">
        <v>7154</v>
      </c>
      <c r="W103" s="286">
        <f>Q103*Wirtschaftlichkeit!$H$5/Wirtschaftlichkeit!$H$7</f>
        <v>1.0476644280442804</v>
      </c>
      <c r="X103" s="284">
        <f t="shared" si="70"/>
        <v>38.239751623616236</v>
      </c>
      <c r="Z103" s="222">
        <v>7154</v>
      </c>
      <c r="AA103" s="225" t="str">
        <f>IF($C103&gt;=Wirtschaftlichkeit!$I$8,Wirtschaftlichkeit!$I$8,IF(AND($C103&lt;=Wirtschaftlichkeit!$I$8,$C103&gt;=Wirtschaftlichkeit!$I$8*Eingabemaske!$B$18),$C103,"0"))</f>
        <v>0</v>
      </c>
      <c r="AB103" s="222">
        <v>7154</v>
      </c>
      <c r="AC103" s="224">
        <f t="shared" si="71"/>
        <v>0</v>
      </c>
      <c r="AD103" s="222">
        <v>7154</v>
      </c>
      <c r="AE103" s="226" t="str">
        <f t="shared" si="126"/>
        <v xml:space="preserve"> </v>
      </c>
      <c r="AF103" s="312">
        <v>7154</v>
      </c>
      <c r="AG103" s="286">
        <f>AA103*Wirtschaftlichkeit!$I$5/Wirtschaftlichkeit!$I$7</f>
        <v>0</v>
      </c>
      <c r="AH103" s="284">
        <f t="shared" si="73"/>
        <v>0</v>
      </c>
      <c r="AJ103" s="222">
        <v>7154</v>
      </c>
      <c r="AK103" s="225" t="str">
        <f>IF($C103&gt;=Wirtschaftlichkeit!$J$8,Wirtschaftlichkeit!$J$8,IF(AND($C103&lt;=Wirtschaftlichkeit!$J$8,$C103&gt;=Wirtschaftlichkeit!$J$8*Eingabemaske!$B$18),$C103,"0"))</f>
        <v>0</v>
      </c>
      <c r="AL103" s="222">
        <v>7154</v>
      </c>
      <c r="AM103" s="224">
        <f t="shared" si="74"/>
        <v>0</v>
      </c>
      <c r="AN103" s="222">
        <v>7154</v>
      </c>
      <c r="AO103" s="226" t="str">
        <f t="shared" si="127"/>
        <v xml:space="preserve"> </v>
      </c>
      <c r="AP103" s="312">
        <v>7154</v>
      </c>
      <c r="AQ103" s="286">
        <f>AK103*Wirtschaftlichkeit!$J$5/Wirtschaftlichkeit!$J$7</f>
        <v>0</v>
      </c>
      <c r="AR103" s="284">
        <f t="shared" si="76"/>
        <v>0</v>
      </c>
      <c r="AT103" s="222">
        <v>7154</v>
      </c>
      <c r="AU103" s="225" t="str">
        <f>IF($C103&gt;=Wirtschaftlichkeit!$K$8,Wirtschaftlichkeit!$K$8,IF(AND($C103&lt;=Wirtschaftlichkeit!$K$8,$C103&gt;=Wirtschaftlichkeit!$K$8*Eingabemaske!$B$18),$C103,"0"))</f>
        <v>0</v>
      </c>
      <c r="AV103" s="222">
        <v>7154</v>
      </c>
      <c r="AW103" s="224">
        <f t="shared" si="77"/>
        <v>0</v>
      </c>
      <c r="AX103" s="222">
        <v>7154</v>
      </c>
      <c r="AY103" s="226" t="str">
        <f t="shared" si="128"/>
        <v xml:space="preserve"> </v>
      </c>
      <c r="AZ103" s="312">
        <v>7154</v>
      </c>
      <c r="BA103" s="286">
        <f>AU103*Wirtschaftlichkeit!$K$5/Wirtschaftlichkeit!$K$7</f>
        <v>0</v>
      </c>
      <c r="BB103" s="284">
        <f t="shared" si="79"/>
        <v>0</v>
      </c>
      <c r="BD103" s="222">
        <v>7154</v>
      </c>
      <c r="BE103" s="225" t="str">
        <f>IF($C103&gt;=Wirtschaftlichkeit!$L$8,Wirtschaftlichkeit!$L$8,IF(AND($C103&lt;=Wirtschaftlichkeit!$L$8,$C103&gt;=Wirtschaftlichkeit!$L$8*Eingabemaske!$B$18),$C103,"0"))</f>
        <v>0</v>
      </c>
      <c r="BF103" s="222">
        <v>7154</v>
      </c>
      <c r="BG103" s="224">
        <f t="shared" si="80"/>
        <v>0</v>
      </c>
      <c r="BH103" s="222">
        <v>7154</v>
      </c>
      <c r="BI103" s="226" t="str">
        <f t="shared" si="129"/>
        <v xml:space="preserve"> </v>
      </c>
      <c r="BJ103" s="312">
        <v>7154</v>
      </c>
      <c r="BK103" s="286">
        <f>BE103*Wirtschaftlichkeit!$L$5/Wirtschaftlichkeit!$L$7</f>
        <v>0</v>
      </c>
      <c r="BL103" s="284">
        <f t="shared" si="82"/>
        <v>0</v>
      </c>
      <c r="BN103" s="222">
        <v>7154</v>
      </c>
      <c r="BO103" s="225" t="str">
        <f>IF($C103&gt;=Wirtschaftlichkeit!$M$8,Wirtschaftlichkeit!$M$8,IF(AND($C103&lt;=Wirtschaftlichkeit!$M$8,$C103&gt;=Wirtschaftlichkeit!$M$8*Eingabemaske!$B$18),$C103,"0"))</f>
        <v>0</v>
      </c>
      <c r="BP103" s="222">
        <v>7154</v>
      </c>
      <c r="BQ103" s="224">
        <f t="shared" si="83"/>
        <v>0</v>
      </c>
      <c r="BR103" s="222">
        <v>7154</v>
      </c>
      <c r="BS103" s="226" t="str">
        <f t="shared" si="130"/>
        <v xml:space="preserve"> </v>
      </c>
      <c r="BT103" s="312">
        <v>7154</v>
      </c>
      <c r="BU103" s="286">
        <f>BO103*Wirtschaftlichkeit!$M$5/Wirtschaftlichkeit!$M$7</f>
        <v>0</v>
      </c>
      <c r="BV103" s="284">
        <f t="shared" si="85"/>
        <v>0</v>
      </c>
      <c r="BX103" s="222">
        <v>7154</v>
      </c>
      <c r="BY103" s="225" t="str">
        <f>IF($C103&gt;=Wirtschaftlichkeit!$N$8,Wirtschaftlichkeit!$N$8,IF(AND($C103&lt;=Wirtschaftlichkeit!$N$8,$C103&gt;=Wirtschaftlichkeit!$N$8*Eingabemaske!$B$18),$C103,"0"))</f>
        <v>0</v>
      </c>
      <c r="BZ103" s="222">
        <v>7154</v>
      </c>
      <c r="CA103" s="224">
        <f t="shared" si="86"/>
        <v>0</v>
      </c>
      <c r="CB103" s="222">
        <v>7154</v>
      </c>
      <c r="CC103" s="226" t="str">
        <f t="shared" si="131"/>
        <v xml:space="preserve"> </v>
      </c>
      <c r="CD103" s="312">
        <v>7154</v>
      </c>
      <c r="CE103" s="286">
        <f>BY103*Wirtschaftlichkeit!$N$5/Wirtschaftlichkeit!$N$7</f>
        <v>0</v>
      </c>
      <c r="CF103" s="284">
        <f t="shared" si="88"/>
        <v>0</v>
      </c>
      <c r="CH103" s="222">
        <v>7154</v>
      </c>
      <c r="CI103" s="225" t="str">
        <f>IF($C103&gt;=Wirtschaftlichkeit!$O$8,Wirtschaftlichkeit!$O$8,IF(AND($C103&lt;=Wirtschaftlichkeit!$O$8,$C103&gt;=Wirtschaftlichkeit!$O$8*Eingabemaske!$B$18),$C103,"0"))</f>
        <v>0</v>
      </c>
      <c r="CJ103" s="222">
        <v>7154</v>
      </c>
      <c r="CK103" s="224">
        <f t="shared" si="89"/>
        <v>0</v>
      </c>
      <c r="CL103" s="222">
        <v>7154</v>
      </c>
      <c r="CM103" s="226" t="str">
        <f t="shared" si="132"/>
        <v xml:space="preserve"> </v>
      </c>
      <c r="CN103" s="312">
        <v>7154</v>
      </c>
      <c r="CO103" s="286">
        <f>CI103*Wirtschaftlichkeit!$O$5/Wirtschaftlichkeit!$O$7</f>
        <v>0</v>
      </c>
      <c r="CP103" s="284">
        <f t="shared" si="91"/>
        <v>0</v>
      </c>
      <c r="CR103" s="222">
        <v>7154</v>
      </c>
      <c r="CS103" s="225" t="str">
        <f>IF($C103&gt;=Wirtschaftlichkeit!$P$8,Wirtschaftlichkeit!$P$8,IF(AND($C103&lt;=Wirtschaftlichkeit!$P$8,$C103&gt;=Wirtschaftlichkeit!$P$8*Eingabemaske!$B$18),$C103,"0"))</f>
        <v>0</v>
      </c>
      <c r="CT103" s="222">
        <v>7154</v>
      </c>
      <c r="CU103" s="224">
        <f t="shared" si="92"/>
        <v>0</v>
      </c>
      <c r="CV103" s="222">
        <v>7154</v>
      </c>
      <c r="CW103" s="226" t="str">
        <f t="shared" si="133"/>
        <v xml:space="preserve"> </v>
      </c>
      <c r="CX103" s="312">
        <v>7154</v>
      </c>
      <c r="CY103" s="286">
        <f>CS103*Wirtschaftlichkeit!$P$5/Wirtschaftlichkeit!$P$7</f>
        <v>0</v>
      </c>
      <c r="CZ103" s="284">
        <f t="shared" si="94"/>
        <v>0</v>
      </c>
      <c r="DB103" s="222">
        <v>7154</v>
      </c>
      <c r="DC103" s="225" t="str">
        <f>IF($C103&gt;=Wirtschaftlichkeit!$Q$8,Wirtschaftlichkeit!$Q$8,IF(AND($C103&lt;=Wirtschaftlichkeit!$Q$8,$C103&gt;=Wirtschaftlichkeit!$Q$8*Eingabemaske!$B$18),$C103,"0"))</f>
        <v>0</v>
      </c>
      <c r="DD103" s="222">
        <v>7154</v>
      </c>
      <c r="DE103" s="224">
        <f t="shared" si="95"/>
        <v>0</v>
      </c>
      <c r="DF103" s="222">
        <v>7154</v>
      </c>
      <c r="DG103" s="226" t="str">
        <f t="shared" si="134"/>
        <v xml:space="preserve"> </v>
      </c>
      <c r="DH103" s="312">
        <v>7154</v>
      </c>
      <c r="DI103" s="286">
        <f>DC103*Wirtschaftlichkeit!$Q$5/Wirtschaftlichkeit!$Q$7</f>
        <v>0</v>
      </c>
      <c r="DJ103" s="284">
        <f t="shared" si="97"/>
        <v>0</v>
      </c>
      <c r="DL103" s="222">
        <v>7154</v>
      </c>
      <c r="DM103" s="225" t="str">
        <f>IF($C103&gt;=Wirtschaftlichkeit!$R$8,Wirtschaftlichkeit!$R$8,IF(AND($C103&lt;=Wirtschaftlichkeit!$R$8,$C103&gt;=Wirtschaftlichkeit!$R$8*Eingabemaske!$B$18),$C103,"0"))</f>
        <v>0</v>
      </c>
      <c r="DN103" s="222">
        <v>7154</v>
      </c>
      <c r="DO103" s="224">
        <f t="shared" si="98"/>
        <v>0</v>
      </c>
      <c r="DP103" s="222">
        <v>7154</v>
      </c>
      <c r="DQ103" s="226" t="str">
        <f t="shared" si="135"/>
        <v xml:space="preserve"> </v>
      </c>
      <c r="DR103" s="312">
        <v>7154</v>
      </c>
      <c r="DS103" s="286">
        <f>DM103*Wirtschaftlichkeit!$R$5/Wirtschaftlichkeit!$R$7</f>
        <v>0</v>
      </c>
      <c r="DT103" s="284">
        <f t="shared" si="100"/>
        <v>0</v>
      </c>
      <c r="DV103" s="222">
        <v>7154</v>
      </c>
      <c r="DW103" s="225" t="str">
        <f>IF($C103&gt;=Wirtschaftlichkeit!$S$8,Wirtschaftlichkeit!$S$8,IF(AND($C103&lt;=Wirtschaftlichkeit!$S$8,$C103&gt;=Wirtschaftlichkeit!$S$8*Eingabemaske!$B$18),$C103,"0"))</f>
        <v>0</v>
      </c>
      <c r="DX103" s="222">
        <v>7154</v>
      </c>
      <c r="DY103" s="224">
        <f t="shared" si="101"/>
        <v>0</v>
      </c>
      <c r="DZ103" s="222">
        <v>7154</v>
      </c>
      <c r="EA103" s="226" t="str">
        <f t="shared" si="136"/>
        <v xml:space="preserve"> </v>
      </c>
      <c r="EB103" s="312">
        <v>7154</v>
      </c>
      <c r="EC103" s="286">
        <f>DW103*Wirtschaftlichkeit!$S$5/Wirtschaftlichkeit!$S$7</f>
        <v>0</v>
      </c>
      <c r="ED103" s="284">
        <f t="shared" si="103"/>
        <v>0</v>
      </c>
      <c r="EF103" s="222">
        <v>7154</v>
      </c>
      <c r="EG103" s="225" t="str">
        <f>IF($C103&gt;=Wirtschaftlichkeit!$T$8,Wirtschaftlichkeit!$T$8,IF(AND($C103&lt;=Wirtschaftlichkeit!$T$8,$C103&gt;=Wirtschaftlichkeit!$T$8*Eingabemaske!$B$18),$C103,"0"))</f>
        <v>0</v>
      </c>
      <c r="EH103" s="222">
        <v>7154</v>
      </c>
      <c r="EI103" s="224">
        <f t="shared" si="104"/>
        <v>0</v>
      </c>
      <c r="EJ103" s="222">
        <v>7154</v>
      </c>
      <c r="EK103" s="226" t="str">
        <f t="shared" si="137"/>
        <v xml:space="preserve"> </v>
      </c>
      <c r="EL103" s="312">
        <v>7154</v>
      </c>
      <c r="EM103" s="286">
        <f>EG103*Wirtschaftlichkeit!$T$5/Wirtschaftlichkeit!$T$7</f>
        <v>0</v>
      </c>
      <c r="EN103" s="284">
        <f t="shared" si="106"/>
        <v>0</v>
      </c>
      <c r="EP103" s="222">
        <v>7154</v>
      </c>
      <c r="EQ103" s="225" t="str">
        <f>IF($C103&gt;=Wirtschaftlichkeit!$U$8,Wirtschaftlichkeit!$U$8,IF(AND($C103&lt;=Wirtschaftlichkeit!$U$8,$C103&gt;=Wirtschaftlichkeit!$U$8*Eingabemaske!$B$18),$C103,"0"))</f>
        <v>0</v>
      </c>
      <c r="ER103" s="222">
        <v>7154</v>
      </c>
      <c r="ES103" s="224">
        <f t="shared" si="107"/>
        <v>0</v>
      </c>
      <c r="ET103" s="222">
        <v>7154</v>
      </c>
      <c r="EU103" s="226" t="str">
        <f t="shared" si="138"/>
        <v xml:space="preserve"> </v>
      </c>
      <c r="EV103" s="312">
        <v>7154</v>
      </c>
      <c r="EW103" s="286">
        <f>EQ103*Wirtschaftlichkeit!$U$5/Wirtschaftlichkeit!$U$7</f>
        <v>0</v>
      </c>
      <c r="EX103" s="284">
        <f t="shared" si="109"/>
        <v>0</v>
      </c>
      <c r="EZ103" s="222">
        <v>7154</v>
      </c>
      <c r="FA103" s="225" t="str">
        <f>IF($C103&gt;=Wirtschaftlichkeit!$V$8,Wirtschaftlichkeit!$V$8,IF(AND($C103&lt;=Wirtschaftlichkeit!$V$8,$C103&gt;=Wirtschaftlichkeit!$V$8*Eingabemaske!$B$18),$C103,"0"))</f>
        <v>0</v>
      </c>
      <c r="FB103" s="222">
        <v>7154</v>
      </c>
      <c r="FC103" s="224">
        <f t="shared" si="110"/>
        <v>0</v>
      </c>
      <c r="FD103" s="222">
        <v>7154</v>
      </c>
      <c r="FE103" s="226" t="str">
        <f t="shared" si="139"/>
        <v xml:space="preserve"> </v>
      </c>
      <c r="FF103" s="312">
        <v>7154</v>
      </c>
      <c r="FG103" s="286">
        <f>FA103*Wirtschaftlichkeit!$V$5/Wirtschaftlichkeit!$V$7</f>
        <v>0</v>
      </c>
      <c r="FH103" s="284">
        <f t="shared" si="112"/>
        <v>0</v>
      </c>
      <c r="FJ103" s="222">
        <v>7154</v>
      </c>
      <c r="FK103" s="225" t="str">
        <f>IF($C103&gt;=Wirtschaftlichkeit!$W$8,Wirtschaftlichkeit!$W$8,IF(AND($C103&lt;=Wirtschaftlichkeit!$W$8,$C103&gt;=Wirtschaftlichkeit!$W$8*Eingabemaske!$B$18),$C103,"0"))</f>
        <v>0</v>
      </c>
      <c r="FL103" s="222">
        <v>7154</v>
      </c>
      <c r="FM103" s="224">
        <f t="shared" si="113"/>
        <v>0</v>
      </c>
      <c r="FN103" s="222">
        <v>7154</v>
      </c>
      <c r="FO103" s="226" t="str">
        <f t="shared" si="140"/>
        <v xml:space="preserve"> </v>
      </c>
      <c r="FP103" s="312">
        <v>7154</v>
      </c>
      <c r="FQ103" s="286">
        <f>FK103*Wirtschaftlichkeit!$W$5/Wirtschaftlichkeit!$W$7</f>
        <v>0</v>
      </c>
      <c r="FR103" s="284">
        <f t="shared" si="115"/>
        <v>0</v>
      </c>
      <c r="FT103" s="222">
        <v>7154</v>
      </c>
      <c r="FU103" s="225" t="str">
        <f>IF($C103&gt;=Wirtschaftlichkeit!$X$8,Wirtschaftlichkeit!$X$8,IF(AND($C103&lt;=Wirtschaftlichkeit!$X$8,$C103&gt;=Wirtschaftlichkeit!$X$8*Eingabemaske!$B$18),$C103,"0"))</f>
        <v>0</v>
      </c>
      <c r="FV103" s="222">
        <v>7154</v>
      </c>
      <c r="FW103" s="224">
        <f t="shared" si="116"/>
        <v>0</v>
      </c>
      <c r="FX103" s="222">
        <v>7154</v>
      </c>
      <c r="FY103" s="226" t="str">
        <f t="shared" si="141"/>
        <v xml:space="preserve"> </v>
      </c>
      <c r="FZ103" s="312">
        <v>7154</v>
      </c>
      <c r="GA103" s="286">
        <f>FU103*Wirtschaftlichkeit!$X$5/Wirtschaftlichkeit!$X$7</f>
        <v>0</v>
      </c>
      <c r="GB103" s="284">
        <f t="shared" si="118"/>
        <v>0</v>
      </c>
      <c r="GD103" s="222">
        <v>7154</v>
      </c>
      <c r="GE103" s="225" t="str">
        <f>IF($C103&gt;=Wirtschaftlichkeit!$Y$8,Wirtschaftlichkeit!$Y$8,IF(AND($C103&lt;=Wirtschaftlichkeit!$Y$8,$C103&gt;=Wirtschaftlichkeit!$Y$8*Eingabemaske!$B$18),$C103,"0"))</f>
        <v>0</v>
      </c>
      <c r="GF103" s="222">
        <v>7154</v>
      </c>
      <c r="GG103" s="224">
        <f t="shared" si="119"/>
        <v>0</v>
      </c>
      <c r="GH103" s="222">
        <v>7154</v>
      </c>
      <c r="GI103" s="226" t="str">
        <f t="shared" si="142"/>
        <v xml:space="preserve"> </v>
      </c>
      <c r="GJ103" s="312">
        <v>7154</v>
      </c>
      <c r="GK103" s="286">
        <f>GE103*Wirtschaftlichkeit!$Y$5/Wirtschaftlichkeit!$Y$7</f>
        <v>0</v>
      </c>
      <c r="GL103" s="284">
        <f t="shared" si="121"/>
        <v>0</v>
      </c>
      <c r="GN103" s="222">
        <v>7154</v>
      </c>
      <c r="GO103" s="225" t="str">
        <f>IF($C103&gt;=Wirtschaftlichkeit!$Z$8,Wirtschaftlichkeit!$Z$8,IF(AND($C103&lt;=Wirtschaftlichkeit!$Z$8,$C103&gt;=Wirtschaftlichkeit!$Z$8*Eingabemaske!$B$18),$C103,"0"))</f>
        <v>0</v>
      </c>
      <c r="GP103" s="222">
        <v>7154</v>
      </c>
      <c r="GQ103" s="224">
        <f t="shared" si="122"/>
        <v>0</v>
      </c>
      <c r="GR103" s="222">
        <v>7154</v>
      </c>
      <c r="GS103" s="226" t="str">
        <f t="shared" si="143"/>
        <v xml:space="preserve"> </v>
      </c>
      <c r="GT103" s="312">
        <v>7154</v>
      </c>
      <c r="GU103" s="286">
        <f>GO103*Wirtschaftlichkeit!$Z$5/Wirtschaftlichkeit!$Z$7</f>
        <v>0</v>
      </c>
      <c r="GV103" s="284">
        <f t="shared" si="124"/>
        <v>0</v>
      </c>
      <c r="GW103" s="266"/>
      <c r="GX103" s="258">
        <v>7154</v>
      </c>
      <c r="GY103" s="270" t="str">
        <f>IF(Berechnung_Diagramme!$C$28=Berechnungen_Lastgang!$F$2,Berechnungen_Lastgang!G103,IF(Berechnung_Diagramme!$C$28=Berechnungen_Lastgang!$P$2,Berechnungen_Lastgang!Q103,IF(Berechnung_Diagramme!$C$28=Berechnungen_Lastgang!$Z$2,Berechnungen_Lastgang!AA103,IF(Berechnung_Diagramme!$C$28=Berechnungen_Lastgang!$AJ$2,Berechnungen_Lastgang!AK103,IF(Berechnung_Diagramme!$C$28=Berechnungen_Lastgang!$AT$2,Berechnungen_Lastgang!AU103,IF(Berechnung_Diagramme!$C$28=Berechnungen_Lastgang!$BD$2,Berechnungen_Lastgang!BE103,IF(Berechnung_Diagramme!$C$28=Berechnungen_Lastgang!$BN$2,Berechnungen_Lastgang!BO103,IF(Berechnung_Diagramme!$C$28=Berechnungen_Lastgang!$BX$2,Berechnungen_Lastgang!BY103,IF(Berechnung_Diagramme!$C$28=Berechnungen_Lastgang!$CH$2,Berechnungen_Lastgang!CI103,IF(Berechnung_Diagramme!$C$28=Berechnungen_Lastgang!$CR$2,Berechnungen_Lastgang!CS103,IF(Berechnung_Diagramme!$C$28=Berechnungen_Lastgang!$DB$2,Berechnungen_Lastgang!DC103,IF(Berechnung_Diagramme!$C$28=Berechnungen_Lastgang!$DL$2,Berechnungen_Lastgang!DM103,IF(Berechnung_Diagramme!$C$28=Berechnungen_Lastgang!$DV$2,Berechnungen_Lastgang!DW103,IF(Berechnung_Diagramme!$C$28=Berechnungen_Lastgang!$EF$2,Berechnungen_Lastgang!EG103,IF(Berechnung_Diagramme!$C$28=Berechnungen_Lastgang!$EP$2,Berechnungen_Lastgang!EQ103,IF(Berechnung_Diagramme!$C$28=Berechnungen_Lastgang!$EZ$2,Berechnungen_Lastgang!FA103,IF(Berechnung_Diagramme!$C$28=Berechnungen_Lastgang!$FJ$2,Berechnungen_Lastgang!FK103,IF(Berechnung_Diagramme!$C$28=Berechnungen_Lastgang!$FT$2,Berechnungen_Lastgang!FU103,IF(Berechnung_Diagramme!$C$28=Berechnungen_Lastgang!$GD$2,Berechnungen_Lastgang!GE103,IF(Berechnung_Diagramme!$C$28=Berechnungen_Lastgang!$GN$2,Berechnungen_Lastgang!GO103,""))))))))))))))))))))</f>
        <v>0</v>
      </c>
    </row>
    <row r="104" spans="2:207" x14ac:dyDescent="0.25">
      <c r="B104" s="64">
        <v>7227</v>
      </c>
      <c r="C104" s="67">
        <f>C103+((C105-C103)/(B105-B103))*(B104-B103)</f>
        <v>2.7779400000000001</v>
      </c>
      <c r="D104" s="66">
        <f t="shared" si="144"/>
        <v>197.34966</v>
      </c>
      <c r="F104" s="64">
        <v>7227</v>
      </c>
      <c r="G104" s="225">
        <f>IF($C104&gt;=Wirtschaftlichkeit!$G$8,Wirtschaftlichkeit!$G$8,IF(AND($C104&lt;=Wirtschaftlichkeit!$G$8,$C104&gt;=Wirtschaftlichkeit!$G$8*Eingabemaske!$B$18),$C104,"0"))</f>
        <v>2.7779400000000001</v>
      </c>
      <c r="H104" s="64">
        <v>7227</v>
      </c>
      <c r="I104" s="66">
        <f t="shared" si="145"/>
        <v>197.34966</v>
      </c>
      <c r="J104" s="64">
        <v>7227</v>
      </c>
      <c r="K104" s="71">
        <f t="shared" si="146"/>
        <v>2.7779400000000001</v>
      </c>
      <c r="L104" s="312">
        <v>7227</v>
      </c>
      <c r="M104" s="286">
        <f>G104*Wirtschaftlichkeit!$G$5/Wirtschaftlichkeit!$G$7</f>
        <v>0.98044941176470579</v>
      </c>
      <c r="N104" s="284">
        <f t="shared" si="67"/>
        <v>69.652821176470582</v>
      </c>
      <c r="P104" s="222">
        <v>7227</v>
      </c>
      <c r="Q104" s="225" t="str">
        <f>IF($C104&gt;=Wirtschaftlichkeit!$H$8,Wirtschaftlichkeit!$H$8,IF(AND($C104&lt;=Wirtschaftlichkeit!$H$8,$C104&gt;=Wirtschaftlichkeit!$H$8*Eingabemaske!$B$18),$C104,"0"))</f>
        <v>0</v>
      </c>
      <c r="R104" s="222">
        <v>7227</v>
      </c>
      <c r="S104" s="224">
        <f t="shared" si="68"/>
        <v>0</v>
      </c>
      <c r="T104" s="222">
        <v>7227</v>
      </c>
      <c r="U104" s="226" t="str">
        <f t="shared" si="125"/>
        <v xml:space="preserve"> </v>
      </c>
      <c r="V104" s="312">
        <v>7227</v>
      </c>
      <c r="W104" s="286">
        <f>Q104*Wirtschaftlichkeit!$H$5/Wirtschaftlichkeit!$H$7</f>
        <v>0</v>
      </c>
      <c r="X104" s="284">
        <f t="shared" si="70"/>
        <v>0</v>
      </c>
      <c r="Z104" s="222">
        <v>7227</v>
      </c>
      <c r="AA104" s="225" t="str">
        <f>IF($C104&gt;=Wirtschaftlichkeit!$I$8,Wirtschaftlichkeit!$I$8,IF(AND($C104&lt;=Wirtschaftlichkeit!$I$8,$C104&gt;=Wirtschaftlichkeit!$I$8*Eingabemaske!$B$18),$C104,"0"))</f>
        <v>0</v>
      </c>
      <c r="AB104" s="222">
        <v>7227</v>
      </c>
      <c r="AC104" s="224">
        <f t="shared" si="71"/>
        <v>0</v>
      </c>
      <c r="AD104" s="222">
        <v>7227</v>
      </c>
      <c r="AE104" s="226" t="str">
        <f t="shared" si="126"/>
        <v xml:space="preserve"> </v>
      </c>
      <c r="AF104" s="312">
        <v>7227</v>
      </c>
      <c r="AG104" s="286">
        <f>AA104*Wirtschaftlichkeit!$I$5/Wirtschaftlichkeit!$I$7</f>
        <v>0</v>
      </c>
      <c r="AH104" s="284">
        <f t="shared" si="73"/>
        <v>0</v>
      </c>
      <c r="AJ104" s="222">
        <v>7227</v>
      </c>
      <c r="AK104" s="225" t="str">
        <f>IF($C104&gt;=Wirtschaftlichkeit!$J$8,Wirtschaftlichkeit!$J$8,IF(AND($C104&lt;=Wirtschaftlichkeit!$J$8,$C104&gt;=Wirtschaftlichkeit!$J$8*Eingabemaske!$B$18),$C104,"0"))</f>
        <v>0</v>
      </c>
      <c r="AL104" s="222">
        <v>7227</v>
      </c>
      <c r="AM104" s="224">
        <f t="shared" si="74"/>
        <v>0</v>
      </c>
      <c r="AN104" s="222">
        <v>7227</v>
      </c>
      <c r="AO104" s="226" t="str">
        <f t="shared" si="127"/>
        <v xml:space="preserve"> </v>
      </c>
      <c r="AP104" s="312">
        <v>7227</v>
      </c>
      <c r="AQ104" s="286">
        <f>AK104*Wirtschaftlichkeit!$J$5/Wirtschaftlichkeit!$J$7</f>
        <v>0</v>
      </c>
      <c r="AR104" s="284">
        <f t="shared" si="76"/>
        <v>0</v>
      </c>
      <c r="AT104" s="222">
        <v>7227</v>
      </c>
      <c r="AU104" s="225" t="str">
        <f>IF($C104&gt;=Wirtschaftlichkeit!$K$8,Wirtschaftlichkeit!$K$8,IF(AND($C104&lt;=Wirtschaftlichkeit!$K$8,$C104&gt;=Wirtschaftlichkeit!$K$8*Eingabemaske!$B$18),$C104,"0"))</f>
        <v>0</v>
      </c>
      <c r="AV104" s="222">
        <v>7227</v>
      </c>
      <c r="AW104" s="224">
        <f t="shared" si="77"/>
        <v>0</v>
      </c>
      <c r="AX104" s="222">
        <v>7227</v>
      </c>
      <c r="AY104" s="226" t="str">
        <f t="shared" si="128"/>
        <v xml:space="preserve"> </v>
      </c>
      <c r="AZ104" s="312">
        <v>7227</v>
      </c>
      <c r="BA104" s="286">
        <f>AU104*Wirtschaftlichkeit!$K$5/Wirtschaftlichkeit!$K$7</f>
        <v>0</v>
      </c>
      <c r="BB104" s="284">
        <f t="shared" si="79"/>
        <v>0</v>
      </c>
      <c r="BD104" s="222">
        <v>7227</v>
      </c>
      <c r="BE104" s="225" t="str">
        <f>IF($C104&gt;=Wirtschaftlichkeit!$L$8,Wirtschaftlichkeit!$L$8,IF(AND($C104&lt;=Wirtschaftlichkeit!$L$8,$C104&gt;=Wirtschaftlichkeit!$L$8*Eingabemaske!$B$18),$C104,"0"))</f>
        <v>0</v>
      </c>
      <c r="BF104" s="222">
        <v>7227</v>
      </c>
      <c r="BG104" s="224">
        <f t="shared" si="80"/>
        <v>0</v>
      </c>
      <c r="BH104" s="222">
        <v>7227</v>
      </c>
      <c r="BI104" s="226" t="str">
        <f t="shared" si="129"/>
        <v xml:space="preserve"> </v>
      </c>
      <c r="BJ104" s="312">
        <v>7227</v>
      </c>
      <c r="BK104" s="286">
        <f>BE104*Wirtschaftlichkeit!$L$5/Wirtschaftlichkeit!$L$7</f>
        <v>0</v>
      </c>
      <c r="BL104" s="284">
        <f t="shared" si="82"/>
        <v>0</v>
      </c>
      <c r="BN104" s="222">
        <v>7227</v>
      </c>
      <c r="BO104" s="225" t="str">
        <f>IF($C104&gt;=Wirtschaftlichkeit!$M$8,Wirtschaftlichkeit!$M$8,IF(AND($C104&lt;=Wirtschaftlichkeit!$M$8,$C104&gt;=Wirtschaftlichkeit!$M$8*Eingabemaske!$B$18),$C104,"0"))</f>
        <v>0</v>
      </c>
      <c r="BP104" s="222">
        <v>7227</v>
      </c>
      <c r="BQ104" s="224">
        <f t="shared" si="83"/>
        <v>0</v>
      </c>
      <c r="BR104" s="222">
        <v>7227</v>
      </c>
      <c r="BS104" s="226" t="str">
        <f t="shared" si="130"/>
        <v xml:space="preserve"> </v>
      </c>
      <c r="BT104" s="312">
        <v>7227</v>
      </c>
      <c r="BU104" s="286">
        <f>BO104*Wirtschaftlichkeit!$M$5/Wirtschaftlichkeit!$M$7</f>
        <v>0</v>
      </c>
      <c r="BV104" s="284">
        <f t="shared" si="85"/>
        <v>0</v>
      </c>
      <c r="BX104" s="222">
        <v>7227</v>
      </c>
      <c r="BY104" s="225" t="str">
        <f>IF($C104&gt;=Wirtschaftlichkeit!$N$8,Wirtschaftlichkeit!$N$8,IF(AND($C104&lt;=Wirtschaftlichkeit!$N$8,$C104&gt;=Wirtschaftlichkeit!$N$8*Eingabemaske!$B$18),$C104,"0"))</f>
        <v>0</v>
      </c>
      <c r="BZ104" s="222">
        <v>7227</v>
      </c>
      <c r="CA104" s="224">
        <f t="shared" si="86"/>
        <v>0</v>
      </c>
      <c r="CB104" s="222">
        <v>7227</v>
      </c>
      <c r="CC104" s="226" t="str">
        <f t="shared" si="131"/>
        <v xml:space="preserve"> </v>
      </c>
      <c r="CD104" s="312">
        <v>7227</v>
      </c>
      <c r="CE104" s="286">
        <f>BY104*Wirtschaftlichkeit!$N$5/Wirtschaftlichkeit!$N$7</f>
        <v>0</v>
      </c>
      <c r="CF104" s="284">
        <f t="shared" si="88"/>
        <v>0</v>
      </c>
      <c r="CH104" s="222">
        <v>7227</v>
      </c>
      <c r="CI104" s="225" t="str">
        <f>IF($C104&gt;=Wirtschaftlichkeit!$O$8,Wirtschaftlichkeit!$O$8,IF(AND($C104&lt;=Wirtschaftlichkeit!$O$8,$C104&gt;=Wirtschaftlichkeit!$O$8*Eingabemaske!$B$18),$C104,"0"))</f>
        <v>0</v>
      </c>
      <c r="CJ104" s="222">
        <v>7227</v>
      </c>
      <c r="CK104" s="224">
        <f t="shared" si="89"/>
        <v>0</v>
      </c>
      <c r="CL104" s="222">
        <v>7227</v>
      </c>
      <c r="CM104" s="226" t="str">
        <f t="shared" si="132"/>
        <v xml:space="preserve"> </v>
      </c>
      <c r="CN104" s="312">
        <v>7227</v>
      </c>
      <c r="CO104" s="286">
        <f>CI104*Wirtschaftlichkeit!$O$5/Wirtschaftlichkeit!$O$7</f>
        <v>0</v>
      </c>
      <c r="CP104" s="284">
        <f t="shared" si="91"/>
        <v>0</v>
      </c>
      <c r="CR104" s="222">
        <v>7227</v>
      </c>
      <c r="CS104" s="225" t="str">
        <f>IF($C104&gt;=Wirtschaftlichkeit!$P$8,Wirtschaftlichkeit!$P$8,IF(AND($C104&lt;=Wirtschaftlichkeit!$P$8,$C104&gt;=Wirtschaftlichkeit!$P$8*Eingabemaske!$B$18),$C104,"0"))</f>
        <v>0</v>
      </c>
      <c r="CT104" s="222">
        <v>7227</v>
      </c>
      <c r="CU104" s="224">
        <f t="shared" si="92"/>
        <v>0</v>
      </c>
      <c r="CV104" s="222">
        <v>7227</v>
      </c>
      <c r="CW104" s="226" t="str">
        <f t="shared" si="133"/>
        <v xml:space="preserve"> </v>
      </c>
      <c r="CX104" s="312">
        <v>7227</v>
      </c>
      <c r="CY104" s="286">
        <f>CS104*Wirtschaftlichkeit!$P$5/Wirtschaftlichkeit!$P$7</f>
        <v>0</v>
      </c>
      <c r="CZ104" s="284">
        <f t="shared" si="94"/>
        <v>0</v>
      </c>
      <c r="DB104" s="222">
        <v>7227</v>
      </c>
      <c r="DC104" s="225" t="str">
        <f>IF($C104&gt;=Wirtschaftlichkeit!$Q$8,Wirtschaftlichkeit!$Q$8,IF(AND($C104&lt;=Wirtschaftlichkeit!$Q$8,$C104&gt;=Wirtschaftlichkeit!$Q$8*Eingabemaske!$B$18),$C104,"0"))</f>
        <v>0</v>
      </c>
      <c r="DD104" s="222">
        <v>7227</v>
      </c>
      <c r="DE104" s="224">
        <f t="shared" si="95"/>
        <v>0</v>
      </c>
      <c r="DF104" s="222">
        <v>7227</v>
      </c>
      <c r="DG104" s="226" t="str">
        <f t="shared" si="134"/>
        <v xml:space="preserve"> </v>
      </c>
      <c r="DH104" s="312">
        <v>7227</v>
      </c>
      <c r="DI104" s="286">
        <f>DC104*Wirtschaftlichkeit!$Q$5/Wirtschaftlichkeit!$Q$7</f>
        <v>0</v>
      </c>
      <c r="DJ104" s="284">
        <f t="shared" si="97"/>
        <v>0</v>
      </c>
      <c r="DL104" s="222">
        <v>7227</v>
      </c>
      <c r="DM104" s="225" t="str">
        <f>IF($C104&gt;=Wirtschaftlichkeit!$R$8,Wirtschaftlichkeit!$R$8,IF(AND($C104&lt;=Wirtschaftlichkeit!$R$8,$C104&gt;=Wirtschaftlichkeit!$R$8*Eingabemaske!$B$18),$C104,"0"))</f>
        <v>0</v>
      </c>
      <c r="DN104" s="222">
        <v>7227</v>
      </c>
      <c r="DO104" s="224">
        <f t="shared" si="98"/>
        <v>0</v>
      </c>
      <c r="DP104" s="222">
        <v>7227</v>
      </c>
      <c r="DQ104" s="226" t="str">
        <f t="shared" si="135"/>
        <v xml:space="preserve"> </v>
      </c>
      <c r="DR104" s="312">
        <v>7227</v>
      </c>
      <c r="DS104" s="286">
        <f>DM104*Wirtschaftlichkeit!$R$5/Wirtschaftlichkeit!$R$7</f>
        <v>0</v>
      </c>
      <c r="DT104" s="284">
        <f t="shared" si="100"/>
        <v>0</v>
      </c>
      <c r="DV104" s="222">
        <v>7227</v>
      </c>
      <c r="DW104" s="225" t="str">
        <f>IF($C104&gt;=Wirtschaftlichkeit!$S$8,Wirtschaftlichkeit!$S$8,IF(AND($C104&lt;=Wirtschaftlichkeit!$S$8,$C104&gt;=Wirtschaftlichkeit!$S$8*Eingabemaske!$B$18),$C104,"0"))</f>
        <v>0</v>
      </c>
      <c r="DX104" s="222">
        <v>7227</v>
      </c>
      <c r="DY104" s="224">
        <f t="shared" si="101"/>
        <v>0</v>
      </c>
      <c r="DZ104" s="222">
        <v>7227</v>
      </c>
      <c r="EA104" s="226" t="str">
        <f t="shared" si="136"/>
        <v xml:space="preserve"> </v>
      </c>
      <c r="EB104" s="312">
        <v>7227</v>
      </c>
      <c r="EC104" s="286">
        <f>DW104*Wirtschaftlichkeit!$S$5/Wirtschaftlichkeit!$S$7</f>
        <v>0</v>
      </c>
      <c r="ED104" s="284">
        <f t="shared" si="103"/>
        <v>0</v>
      </c>
      <c r="EF104" s="222">
        <v>7227</v>
      </c>
      <c r="EG104" s="225" t="str">
        <f>IF($C104&gt;=Wirtschaftlichkeit!$T$8,Wirtschaftlichkeit!$T$8,IF(AND($C104&lt;=Wirtschaftlichkeit!$T$8,$C104&gt;=Wirtschaftlichkeit!$T$8*Eingabemaske!$B$18),$C104,"0"))</f>
        <v>0</v>
      </c>
      <c r="EH104" s="222">
        <v>7227</v>
      </c>
      <c r="EI104" s="224">
        <f t="shared" si="104"/>
        <v>0</v>
      </c>
      <c r="EJ104" s="222">
        <v>7227</v>
      </c>
      <c r="EK104" s="226" t="str">
        <f t="shared" si="137"/>
        <v xml:space="preserve"> </v>
      </c>
      <c r="EL104" s="312">
        <v>7227</v>
      </c>
      <c r="EM104" s="286">
        <f>EG104*Wirtschaftlichkeit!$T$5/Wirtschaftlichkeit!$T$7</f>
        <v>0</v>
      </c>
      <c r="EN104" s="284">
        <f t="shared" si="106"/>
        <v>0</v>
      </c>
      <c r="EP104" s="222">
        <v>7227</v>
      </c>
      <c r="EQ104" s="225" t="str">
        <f>IF($C104&gt;=Wirtschaftlichkeit!$U$8,Wirtschaftlichkeit!$U$8,IF(AND($C104&lt;=Wirtschaftlichkeit!$U$8,$C104&gt;=Wirtschaftlichkeit!$U$8*Eingabemaske!$B$18),$C104,"0"))</f>
        <v>0</v>
      </c>
      <c r="ER104" s="222">
        <v>7227</v>
      </c>
      <c r="ES104" s="224">
        <f t="shared" si="107"/>
        <v>0</v>
      </c>
      <c r="ET104" s="222">
        <v>7227</v>
      </c>
      <c r="EU104" s="226" t="str">
        <f t="shared" si="138"/>
        <v xml:space="preserve"> </v>
      </c>
      <c r="EV104" s="312">
        <v>7227</v>
      </c>
      <c r="EW104" s="286">
        <f>EQ104*Wirtschaftlichkeit!$U$5/Wirtschaftlichkeit!$U$7</f>
        <v>0</v>
      </c>
      <c r="EX104" s="284">
        <f t="shared" si="109"/>
        <v>0</v>
      </c>
      <c r="EZ104" s="222">
        <v>7227</v>
      </c>
      <c r="FA104" s="225" t="str">
        <f>IF($C104&gt;=Wirtschaftlichkeit!$V$8,Wirtschaftlichkeit!$V$8,IF(AND($C104&lt;=Wirtschaftlichkeit!$V$8,$C104&gt;=Wirtschaftlichkeit!$V$8*Eingabemaske!$B$18),$C104,"0"))</f>
        <v>0</v>
      </c>
      <c r="FB104" s="222">
        <v>7227</v>
      </c>
      <c r="FC104" s="224">
        <f t="shared" si="110"/>
        <v>0</v>
      </c>
      <c r="FD104" s="222">
        <v>7227</v>
      </c>
      <c r="FE104" s="226" t="str">
        <f t="shared" si="139"/>
        <v xml:space="preserve"> </v>
      </c>
      <c r="FF104" s="312">
        <v>7227</v>
      </c>
      <c r="FG104" s="286">
        <f>FA104*Wirtschaftlichkeit!$V$5/Wirtschaftlichkeit!$V$7</f>
        <v>0</v>
      </c>
      <c r="FH104" s="284">
        <f t="shared" si="112"/>
        <v>0</v>
      </c>
      <c r="FJ104" s="222">
        <v>7227</v>
      </c>
      <c r="FK104" s="225" t="str">
        <f>IF($C104&gt;=Wirtschaftlichkeit!$W$8,Wirtschaftlichkeit!$W$8,IF(AND($C104&lt;=Wirtschaftlichkeit!$W$8,$C104&gt;=Wirtschaftlichkeit!$W$8*Eingabemaske!$B$18),$C104,"0"))</f>
        <v>0</v>
      </c>
      <c r="FL104" s="222">
        <v>7227</v>
      </c>
      <c r="FM104" s="224">
        <f t="shared" si="113"/>
        <v>0</v>
      </c>
      <c r="FN104" s="222">
        <v>7227</v>
      </c>
      <c r="FO104" s="226" t="str">
        <f t="shared" si="140"/>
        <v xml:space="preserve"> </v>
      </c>
      <c r="FP104" s="312">
        <v>7227</v>
      </c>
      <c r="FQ104" s="286">
        <f>FK104*Wirtschaftlichkeit!$W$5/Wirtschaftlichkeit!$W$7</f>
        <v>0</v>
      </c>
      <c r="FR104" s="284">
        <f t="shared" si="115"/>
        <v>0</v>
      </c>
      <c r="FT104" s="222">
        <v>7227</v>
      </c>
      <c r="FU104" s="225" t="str">
        <f>IF($C104&gt;=Wirtschaftlichkeit!$X$8,Wirtschaftlichkeit!$X$8,IF(AND($C104&lt;=Wirtschaftlichkeit!$X$8,$C104&gt;=Wirtschaftlichkeit!$X$8*Eingabemaske!$B$18),$C104,"0"))</f>
        <v>0</v>
      </c>
      <c r="FV104" s="222">
        <v>7227</v>
      </c>
      <c r="FW104" s="224">
        <f t="shared" si="116"/>
        <v>0</v>
      </c>
      <c r="FX104" s="222">
        <v>7227</v>
      </c>
      <c r="FY104" s="226" t="str">
        <f t="shared" si="141"/>
        <v xml:space="preserve"> </v>
      </c>
      <c r="FZ104" s="312">
        <v>7227</v>
      </c>
      <c r="GA104" s="286">
        <f>FU104*Wirtschaftlichkeit!$X$5/Wirtschaftlichkeit!$X$7</f>
        <v>0</v>
      </c>
      <c r="GB104" s="284">
        <f t="shared" si="118"/>
        <v>0</v>
      </c>
      <c r="GD104" s="222">
        <v>7227</v>
      </c>
      <c r="GE104" s="225" t="str">
        <f>IF($C104&gt;=Wirtschaftlichkeit!$Y$8,Wirtschaftlichkeit!$Y$8,IF(AND($C104&lt;=Wirtschaftlichkeit!$Y$8,$C104&gt;=Wirtschaftlichkeit!$Y$8*Eingabemaske!$B$18),$C104,"0"))</f>
        <v>0</v>
      </c>
      <c r="GF104" s="222">
        <v>7227</v>
      </c>
      <c r="GG104" s="224">
        <f t="shared" si="119"/>
        <v>0</v>
      </c>
      <c r="GH104" s="222">
        <v>7227</v>
      </c>
      <c r="GI104" s="226" t="str">
        <f t="shared" si="142"/>
        <v xml:space="preserve"> </v>
      </c>
      <c r="GJ104" s="312">
        <v>7227</v>
      </c>
      <c r="GK104" s="286">
        <f>GE104*Wirtschaftlichkeit!$Y$5/Wirtschaftlichkeit!$Y$7</f>
        <v>0</v>
      </c>
      <c r="GL104" s="284">
        <f t="shared" si="121"/>
        <v>0</v>
      </c>
      <c r="GN104" s="222">
        <v>7227</v>
      </c>
      <c r="GO104" s="225" t="str">
        <f>IF($C104&gt;=Wirtschaftlichkeit!$Z$8,Wirtschaftlichkeit!$Z$8,IF(AND($C104&lt;=Wirtschaftlichkeit!$Z$8,$C104&gt;=Wirtschaftlichkeit!$Z$8*Eingabemaske!$B$18),$C104,"0"))</f>
        <v>0</v>
      </c>
      <c r="GP104" s="222">
        <v>7227</v>
      </c>
      <c r="GQ104" s="224">
        <f t="shared" si="122"/>
        <v>0</v>
      </c>
      <c r="GR104" s="222">
        <v>7227</v>
      </c>
      <c r="GS104" s="226" t="str">
        <f t="shared" si="143"/>
        <v xml:space="preserve"> </v>
      </c>
      <c r="GT104" s="312">
        <v>7227</v>
      </c>
      <c r="GU104" s="286">
        <f>GO104*Wirtschaftlichkeit!$Z$5/Wirtschaftlichkeit!$Z$7</f>
        <v>0</v>
      </c>
      <c r="GV104" s="284">
        <f t="shared" si="124"/>
        <v>0</v>
      </c>
      <c r="GW104" s="266"/>
      <c r="GX104" s="258">
        <v>7227</v>
      </c>
      <c r="GY104" s="270" t="str">
        <f>IF(Berechnung_Diagramme!$C$28=Berechnungen_Lastgang!$F$2,Berechnungen_Lastgang!G104,IF(Berechnung_Diagramme!$C$28=Berechnungen_Lastgang!$P$2,Berechnungen_Lastgang!Q104,IF(Berechnung_Diagramme!$C$28=Berechnungen_Lastgang!$Z$2,Berechnungen_Lastgang!AA104,IF(Berechnung_Diagramme!$C$28=Berechnungen_Lastgang!$AJ$2,Berechnungen_Lastgang!AK104,IF(Berechnung_Diagramme!$C$28=Berechnungen_Lastgang!$AT$2,Berechnungen_Lastgang!AU104,IF(Berechnung_Diagramme!$C$28=Berechnungen_Lastgang!$BD$2,Berechnungen_Lastgang!BE104,IF(Berechnung_Diagramme!$C$28=Berechnungen_Lastgang!$BN$2,Berechnungen_Lastgang!BO104,IF(Berechnung_Diagramme!$C$28=Berechnungen_Lastgang!$BX$2,Berechnungen_Lastgang!BY104,IF(Berechnung_Diagramme!$C$28=Berechnungen_Lastgang!$CH$2,Berechnungen_Lastgang!CI104,IF(Berechnung_Diagramme!$C$28=Berechnungen_Lastgang!$CR$2,Berechnungen_Lastgang!CS104,IF(Berechnung_Diagramme!$C$28=Berechnungen_Lastgang!$DB$2,Berechnungen_Lastgang!DC104,IF(Berechnung_Diagramme!$C$28=Berechnungen_Lastgang!$DL$2,Berechnungen_Lastgang!DM104,IF(Berechnung_Diagramme!$C$28=Berechnungen_Lastgang!$DV$2,Berechnungen_Lastgang!DW104,IF(Berechnung_Diagramme!$C$28=Berechnungen_Lastgang!$EF$2,Berechnungen_Lastgang!EG104,IF(Berechnung_Diagramme!$C$28=Berechnungen_Lastgang!$EP$2,Berechnungen_Lastgang!EQ104,IF(Berechnung_Diagramme!$C$28=Berechnungen_Lastgang!$EZ$2,Berechnungen_Lastgang!FA104,IF(Berechnung_Diagramme!$C$28=Berechnungen_Lastgang!$FJ$2,Berechnungen_Lastgang!FK104,IF(Berechnung_Diagramme!$C$28=Berechnungen_Lastgang!$FT$2,Berechnungen_Lastgang!FU104,IF(Berechnung_Diagramme!$C$28=Berechnungen_Lastgang!$GD$2,Berechnungen_Lastgang!GE104,IF(Berechnung_Diagramme!$C$28=Berechnungen_Lastgang!$GN$2,Berechnungen_Lastgang!GO104,""))))))))))))))))))))</f>
        <v>0</v>
      </c>
    </row>
    <row r="105" spans="2:207" x14ac:dyDescent="0.25">
      <c r="B105" s="64">
        <v>7300</v>
      </c>
      <c r="C105" s="67">
        <f>LARGE(Berechnung_Diagramme!$AB$5:$AB$16,11)</f>
        <v>2.6288999999999998</v>
      </c>
      <c r="D105" s="66">
        <f t="shared" si="144"/>
        <v>189.86971499999999</v>
      </c>
      <c r="F105" s="64">
        <v>7300</v>
      </c>
      <c r="G105" s="225">
        <f>IF($C105&gt;=Wirtschaftlichkeit!$G$8,Wirtschaftlichkeit!$G$8,IF(AND($C105&lt;=Wirtschaftlichkeit!$G$8,$C105&gt;=Wirtschaftlichkeit!$G$8*Eingabemaske!$B$18),$C105,"0"))</f>
        <v>2.6288999999999998</v>
      </c>
      <c r="H105" s="64">
        <v>7300</v>
      </c>
      <c r="I105" s="66">
        <f t="shared" si="145"/>
        <v>189.86971499999999</v>
      </c>
      <c r="J105" s="64">
        <v>7300</v>
      </c>
      <c r="K105" s="71">
        <f t="shared" si="146"/>
        <v>2.6288999999999998</v>
      </c>
      <c r="L105" s="312">
        <v>7300</v>
      </c>
      <c r="M105" s="286">
        <f>G105*Wirtschaftlichkeit!$G$5/Wirtschaftlichkeit!$G$7</f>
        <v>0.92784705882352925</v>
      </c>
      <c r="N105" s="284">
        <f t="shared" si="67"/>
        <v>67.012840588235278</v>
      </c>
      <c r="P105" s="222">
        <v>7300</v>
      </c>
      <c r="Q105" s="225" t="str">
        <f>IF($C105&gt;=Wirtschaftlichkeit!$H$8,Wirtschaftlichkeit!$H$8,IF(AND($C105&lt;=Wirtschaftlichkeit!$H$8,$C105&gt;=Wirtschaftlichkeit!$H$8*Eingabemaske!$B$18),$C105,"0"))</f>
        <v>0</v>
      </c>
      <c r="R105" s="222">
        <v>7300</v>
      </c>
      <c r="S105" s="224">
        <f t="shared" si="68"/>
        <v>0</v>
      </c>
      <c r="T105" s="222">
        <v>7300</v>
      </c>
      <c r="U105" s="226" t="str">
        <f t="shared" si="125"/>
        <v xml:space="preserve"> </v>
      </c>
      <c r="V105" s="312">
        <v>7300</v>
      </c>
      <c r="W105" s="286">
        <f>Q105*Wirtschaftlichkeit!$H$5/Wirtschaftlichkeit!$H$7</f>
        <v>0</v>
      </c>
      <c r="X105" s="284">
        <f t="shared" si="70"/>
        <v>0</v>
      </c>
      <c r="Z105" s="222">
        <v>7300</v>
      </c>
      <c r="AA105" s="225" t="str">
        <f>IF($C105&gt;=Wirtschaftlichkeit!$I$8,Wirtschaftlichkeit!$I$8,IF(AND($C105&lt;=Wirtschaftlichkeit!$I$8,$C105&gt;=Wirtschaftlichkeit!$I$8*Eingabemaske!$B$18),$C105,"0"))</f>
        <v>0</v>
      </c>
      <c r="AB105" s="222">
        <v>7300</v>
      </c>
      <c r="AC105" s="224">
        <f t="shared" si="71"/>
        <v>0</v>
      </c>
      <c r="AD105" s="222">
        <v>7300</v>
      </c>
      <c r="AE105" s="226" t="str">
        <f t="shared" si="126"/>
        <v xml:space="preserve"> </v>
      </c>
      <c r="AF105" s="312">
        <v>7300</v>
      </c>
      <c r="AG105" s="286">
        <f>AA105*Wirtschaftlichkeit!$I$5/Wirtschaftlichkeit!$I$7</f>
        <v>0</v>
      </c>
      <c r="AH105" s="284">
        <f t="shared" si="73"/>
        <v>0</v>
      </c>
      <c r="AJ105" s="222">
        <v>7300</v>
      </c>
      <c r="AK105" s="225" t="str">
        <f>IF($C105&gt;=Wirtschaftlichkeit!$J$8,Wirtschaftlichkeit!$J$8,IF(AND($C105&lt;=Wirtschaftlichkeit!$J$8,$C105&gt;=Wirtschaftlichkeit!$J$8*Eingabemaske!$B$18),$C105,"0"))</f>
        <v>0</v>
      </c>
      <c r="AL105" s="222">
        <v>7300</v>
      </c>
      <c r="AM105" s="224">
        <f t="shared" si="74"/>
        <v>0</v>
      </c>
      <c r="AN105" s="222">
        <v>7300</v>
      </c>
      <c r="AO105" s="226" t="str">
        <f t="shared" si="127"/>
        <v xml:space="preserve"> </v>
      </c>
      <c r="AP105" s="312">
        <v>7300</v>
      </c>
      <c r="AQ105" s="286">
        <f>AK105*Wirtschaftlichkeit!$J$5/Wirtschaftlichkeit!$J$7</f>
        <v>0</v>
      </c>
      <c r="AR105" s="284">
        <f t="shared" si="76"/>
        <v>0</v>
      </c>
      <c r="AT105" s="222">
        <v>7300</v>
      </c>
      <c r="AU105" s="225" t="str">
        <f>IF($C105&gt;=Wirtschaftlichkeit!$K$8,Wirtschaftlichkeit!$K$8,IF(AND($C105&lt;=Wirtschaftlichkeit!$K$8,$C105&gt;=Wirtschaftlichkeit!$K$8*Eingabemaske!$B$18),$C105,"0"))</f>
        <v>0</v>
      </c>
      <c r="AV105" s="222">
        <v>7300</v>
      </c>
      <c r="AW105" s="224">
        <f t="shared" si="77"/>
        <v>0</v>
      </c>
      <c r="AX105" s="222">
        <v>7300</v>
      </c>
      <c r="AY105" s="226" t="str">
        <f t="shared" si="128"/>
        <v xml:space="preserve"> </v>
      </c>
      <c r="AZ105" s="312">
        <v>7300</v>
      </c>
      <c r="BA105" s="286">
        <f>AU105*Wirtschaftlichkeit!$K$5/Wirtschaftlichkeit!$K$7</f>
        <v>0</v>
      </c>
      <c r="BB105" s="284">
        <f t="shared" si="79"/>
        <v>0</v>
      </c>
      <c r="BD105" s="222">
        <v>7300</v>
      </c>
      <c r="BE105" s="225" t="str">
        <f>IF($C105&gt;=Wirtschaftlichkeit!$L$8,Wirtschaftlichkeit!$L$8,IF(AND($C105&lt;=Wirtschaftlichkeit!$L$8,$C105&gt;=Wirtschaftlichkeit!$L$8*Eingabemaske!$B$18),$C105,"0"))</f>
        <v>0</v>
      </c>
      <c r="BF105" s="222">
        <v>7300</v>
      </c>
      <c r="BG105" s="224">
        <f t="shared" si="80"/>
        <v>0</v>
      </c>
      <c r="BH105" s="222">
        <v>7300</v>
      </c>
      <c r="BI105" s="226" t="str">
        <f t="shared" si="129"/>
        <v xml:space="preserve"> </v>
      </c>
      <c r="BJ105" s="312">
        <v>7300</v>
      </c>
      <c r="BK105" s="286">
        <f>BE105*Wirtschaftlichkeit!$L$5/Wirtschaftlichkeit!$L$7</f>
        <v>0</v>
      </c>
      <c r="BL105" s="284">
        <f t="shared" si="82"/>
        <v>0</v>
      </c>
      <c r="BN105" s="222">
        <v>7300</v>
      </c>
      <c r="BO105" s="225" t="str">
        <f>IF($C105&gt;=Wirtschaftlichkeit!$M$8,Wirtschaftlichkeit!$M$8,IF(AND($C105&lt;=Wirtschaftlichkeit!$M$8,$C105&gt;=Wirtschaftlichkeit!$M$8*Eingabemaske!$B$18),$C105,"0"))</f>
        <v>0</v>
      </c>
      <c r="BP105" s="222">
        <v>7300</v>
      </c>
      <c r="BQ105" s="224">
        <f t="shared" si="83"/>
        <v>0</v>
      </c>
      <c r="BR105" s="222">
        <v>7300</v>
      </c>
      <c r="BS105" s="226" t="str">
        <f t="shared" si="130"/>
        <v xml:space="preserve"> </v>
      </c>
      <c r="BT105" s="312">
        <v>7300</v>
      </c>
      <c r="BU105" s="286">
        <f>BO105*Wirtschaftlichkeit!$M$5/Wirtschaftlichkeit!$M$7</f>
        <v>0</v>
      </c>
      <c r="BV105" s="284">
        <f t="shared" si="85"/>
        <v>0</v>
      </c>
      <c r="BX105" s="222">
        <v>7300</v>
      </c>
      <c r="BY105" s="225" t="str">
        <f>IF($C105&gt;=Wirtschaftlichkeit!$N$8,Wirtschaftlichkeit!$N$8,IF(AND($C105&lt;=Wirtschaftlichkeit!$N$8,$C105&gt;=Wirtschaftlichkeit!$N$8*Eingabemaske!$B$18),$C105,"0"))</f>
        <v>0</v>
      </c>
      <c r="BZ105" s="222">
        <v>7300</v>
      </c>
      <c r="CA105" s="224">
        <f t="shared" si="86"/>
        <v>0</v>
      </c>
      <c r="CB105" s="222">
        <v>7300</v>
      </c>
      <c r="CC105" s="226" t="str">
        <f t="shared" si="131"/>
        <v xml:space="preserve"> </v>
      </c>
      <c r="CD105" s="312">
        <v>7300</v>
      </c>
      <c r="CE105" s="286">
        <f>BY105*Wirtschaftlichkeit!$N$5/Wirtschaftlichkeit!$N$7</f>
        <v>0</v>
      </c>
      <c r="CF105" s="284">
        <f t="shared" si="88"/>
        <v>0</v>
      </c>
      <c r="CH105" s="222">
        <v>7300</v>
      </c>
      <c r="CI105" s="225" t="str">
        <f>IF($C105&gt;=Wirtschaftlichkeit!$O$8,Wirtschaftlichkeit!$O$8,IF(AND($C105&lt;=Wirtschaftlichkeit!$O$8,$C105&gt;=Wirtschaftlichkeit!$O$8*Eingabemaske!$B$18),$C105,"0"))</f>
        <v>0</v>
      </c>
      <c r="CJ105" s="222">
        <v>7300</v>
      </c>
      <c r="CK105" s="224">
        <f t="shared" si="89"/>
        <v>0</v>
      </c>
      <c r="CL105" s="222">
        <v>7300</v>
      </c>
      <c r="CM105" s="226" t="str">
        <f t="shared" si="132"/>
        <v xml:space="preserve"> </v>
      </c>
      <c r="CN105" s="312">
        <v>7300</v>
      </c>
      <c r="CO105" s="286">
        <f>CI105*Wirtschaftlichkeit!$O$5/Wirtschaftlichkeit!$O$7</f>
        <v>0</v>
      </c>
      <c r="CP105" s="284">
        <f t="shared" si="91"/>
        <v>0</v>
      </c>
      <c r="CR105" s="222">
        <v>7300</v>
      </c>
      <c r="CS105" s="225" t="str">
        <f>IF($C105&gt;=Wirtschaftlichkeit!$P$8,Wirtschaftlichkeit!$P$8,IF(AND($C105&lt;=Wirtschaftlichkeit!$P$8,$C105&gt;=Wirtschaftlichkeit!$P$8*Eingabemaske!$B$18),$C105,"0"))</f>
        <v>0</v>
      </c>
      <c r="CT105" s="222">
        <v>7300</v>
      </c>
      <c r="CU105" s="224">
        <f t="shared" si="92"/>
        <v>0</v>
      </c>
      <c r="CV105" s="222">
        <v>7300</v>
      </c>
      <c r="CW105" s="226" t="str">
        <f t="shared" si="133"/>
        <v xml:space="preserve"> </v>
      </c>
      <c r="CX105" s="312">
        <v>7300</v>
      </c>
      <c r="CY105" s="286">
        <f>CS105*Wirtschaftlichkeit!$P$5/Wirtschaftlichkeit!$P$7</f>
        <v>0</v>
      </c>
      <c r="CZ105" s="284">
        <f t="shared" si="94"/>
        <v>0</v>
      </c>
      <c r="DB105" s="222">
        <v>7300</v>
      </c>
      <c r="DC105" s="225" t="str">
        <f>IF($C105&gt;=Wirtschaftlichkeit!$Q$8,Wirtschaftlichkeit!$Q$8,IF(AND($C105&lt;=Wirtschaftlichkeit!$Q$8,$C105&gt;=Wirtschaftlichkeit!$Q$8*Eingabemaske!$B$18),$C105,"0"))</f>
        <v>0</v>
      </c>
      <c r="DD105" s="222">
        <v>7300</v>
      </c>
      <c r="DE105" s="224">
        <f t="shared" si="95"/>
        <v>0</v>
      </c>
      <c r="DF105" s="222">
        <v>7300</v>
      </c>
      <c r="DG105" s="226" t="str">
        <f t="shared" si="134"/>
        <v xml:space="preserve"> </v>
      </c>
      <c r="DH105" s="312">
        <v>7300</v>
      </c>
      <c r="DI105" s="286">
        <f>DC105*Wirtschaftlichkeit!$Q$5/Wirtschaftlichkeit!$Q$7</f>
        <v>0</v>
      </c>
      <c r="DJ105" s="284">
        <f t="shared" si="97"/>
        <v>0</v>
      </c>
      <c r="DL105" s="222">
        <v>7300</v>
      </c>
      <c r="DM105" s="225" t="str">
        <f>IF($C105&gt;=Wirtschaftlichkeit!$R$8,Wirtschaftlichkeit!$R$8,IF(AND($C105&lt;=Wirtschaftlichkeit!$R$8,$C105&gt;=Wirtschaftlichkeit!$R$8*Eingabemaske!$B$18),$C105,"0"))</f>
        <v>0</v>
      </c>
      <c r="DN105" s="222">
        <v>7300</v>
      </c>
      <c r="DO105" s="224">
        <f t="shared" si="98"/>
        <v>0</v>
      </c>
      <c r="DP105" s="222">
        <v>7300</v>
      </c>
      <c r="DQ105" s="226" t="str">
        <f t="shared" si="135"/>
        <v xml:space="preserve"> </v>
      </c>
      <c r="DR105" s="312">
        <v>7300</v>
      </c>
      <c r="DS105" s="286">
        <f>DM105*Wirtschaftlichkeit!$R$5/Wirtschaftlichkeit!$R$7</f>
        <v>0</v>
      </c>
      <c r="DT105" s="284">
        <f t="shared" si="100"/>
        <v>0</v>
      </c>
      <c r="DV105" s="222">
        <v>7300</v>
      </c>
      <c r="DW105" s="225" t="str">
        <f>IF($C105&gt;=Wirtschaftlichkeit!$S$8,Wirtschaftlichkeit!$S$8,IF(AND($C105&lt;=Wirtschaftlichkeit!$S$8,$C105&gt;=Wirtschaftlichkeit!$S$8*Eingabemaske!$B$18),$C105,"0"))</f>
        <v>0</v>
      </c>
      <c r="DX105" s="222">
        <v>7300</v>
      </c>
      <c r="DY105" s="224">
        <f t="shared" si="101"/>
        <v>0</v>
      </c>
      <c r="DZ105" s="222">
        <v>7300</v>
      </c>
      <c r="EA105" s="226" t="str">
        <f t="shared" si="136"/>
        <v xml:space="preserve"> </v>
      </c>
      <c r="EB105" s="312">
        <v>7300</v>
      </c>
      <c r="EC105" s="286">
        <f>DW105*Wirtschaftlichkeit!$S$5/Wirtschaftlichkeit!$S$7</f>
        <v>0</v>
      </c>
      <c r="ED105" s="284">
        <f t="shared" si="103"/>
        <v>0</v>
      </c>
      <c r="EF105" s="222">
        <v>7300</v>
      </c>
      <c r="EG105" s="225" t="str">
        <f>IF($C105&gt;=Wirtschaftlichkeit!$T$8,Wirtschaftlichkeit!$T$8,IF(AND($C105&lt;=Wirtschaftlichkeit!$T$8,$C105&gt;=Wirtschaftlichkeit!$T$8*Eingabemaske!$B$18),$C105,"0"))</f>
        <v>0</v>
      </c>
      <c r="EH105" s="222">
        <v>7300</v>
      </c>
      <c r="EI105" s="224">
        <f t="shared" si="104"/>
        <v>0</v>
      </c>
      <c r="EJ105" s="222">
        <v>7300</v>
      </c>
      <c r="EK105" s="226" t="str">
        <f t="shared" si="137"/>
        <v xml:space="preserve"> </v>
      </c>
      <c r="EL105" s="312">
        <v>7300</v>
      </c>
      <c r="EM105" s="286">
        <f>EG105*Wirtschaftlichkeit!$T$5/Wirtschaftlichkeit!$T$7</f>
        <v>0</v>
      </c>
      <c r="EN105" s="284">
        <f t="shared" si="106"/>
        <v>0</v>
      </c>
      <c r="EP105" s="222">
        <v>7300</v>
      </c>
      <c r="EQ105" s="225" t="str">
        <f>IF($C105&gt;=Wirtschaftlichkeit!$U$8,Wirtschaftlichkeit!$U$8,IF(AND($C105&lt;=Wirtschaftlichkeit!$U$8,$C105&gt;=Wirtschaftlichkeit!$U$8*Eingabemaske!$B$18),$C105,"0"))</f>
        <v>0</v>
      </c>
      <c r="ER105" s="222">
        <v>7300</v>
      </c>
      <c r="ES105" s="224">
        <f t="shared" si="107"/>
        <v>0</v>
      </c>
      <c r="ET105" s="222">
        <v>7300</v>
      </c>
      <c r="EU105" s="226" t="str">
        <f t="shared" si="138"/>
        <v xml:space="preserve"> </v>
      </c>
      <c r="EV105" s="312">
        <v>7300</v>
      </c>
      <c r="EW105" s="286">
        <f>EQ105*Wirtschaftlichkeit!$U$5/Wirtschaftlichkeit!$U$7</f>
        <v>0</v>
      </c>
      <c r="EX105" s="284">
        <f t="shared" si="109"/>
        <v>0</v>
      </c>
      <c r="EZ105" s="222">
        <v>7300</v>
      </c>
      <c r="FA105" s="225" t="str">
        <f>IF($C105&gt;=Wirtschaftlichkeit!$V$8,Wirtschaftlichkeit!$V$8,IF(AND($C105&lt;=Wirtschaftlichkeit!$V$8,$C105&gt;=Wirtschaftlichkeit!$V$8*Eingabemaske!$B$18),$C105,"0"))</f>
        <v>0</v>
      </c>
      <c r="FB105" s="222">
        <v>7300</v>
      </c>
      <c r="FC105" s="224">
        <f t="shared" si="110"/>
        <v>0</v>
      </c>
      <c r="FD105" s="222">
        <v>7300</v>
      </c>
      <c r="FE105" s="226" t="str">
        <f t="shared" si="139"/>
        <v xml:space="preserve"> </v>
      </c>
      <c r="FF105" s="312">
        <v>7300</v>
      </c>
      <c r="FG105" s="286">
        <f>FA105*Wirtschaftlichkeit!$V$5/Wirtschaftlichkeit!$V$7</f>
        <v>0</v>
      </c>
      <c r="FH105" s="284">
        <f t="shared" si="112"/>
        <v>0</v>
      </c>
      <c r="FJ105" s="222">
        <v>7300</v>
      </c>
      <c r="FK105" s="225" t="str">
        <f>IF($C105&gt;=Wirtschaftlichkeit!$W$8,Wirtschaftlichkeit!$W$8,IF(AND($C105&lt;=Wirtschaftlichkeit!$W$8,$C105&gt;=Wirtschaftlichkeit!$W$8*Eingabemaske!$B$18),$C105,"0"))</f>
        <v>0</v>
      </c>
      <c r="FL105" s="222">
        <v>7300</v>
      </c>
      <c r="FM105" s="224">
        <f t="shared" si="113"/>
        <v>0</v>
      </c>
      <c r="FN105" s="222">
        <v>7300</v>
      </c>
      <c r="FO105" s="226" t="str">
        <f t="shared" si="140"/>
        <v xml:space="preserve"> </v>
      </c>
      <c r="FP105" s="312">
        <v>7300</v>
      </c>
      <c r="FQ105" s="286">
        <f>FK105*Wirtschaftlichkeit!$W$5/Wirtschaftlichkeit!$W$7</f>
        <v>0</v>
      </c>
      <c r="FR105" s="284">
        <f t="shared" si="115"/>
        <v>0</v>
      </c>
      <c r="FT105" s="222">
        <v>7300</v>
      </c>
      <c r="FU105" s="225" t="str">
        <f>IF($C105&gt;=Wirtschaftlichkeit!$X$8,Wirtschaftlichkeit!$X$8,IF(AND($C105&lt;=Wirtschaftlichkeit!$X$8,$C105&gt;=Wirtschaftlichkeit!$X$8*Eingabemaske!$B$18),$C105,"0"))</f>
        <v>0</v>
      </c>
      <c r="FV105" s="222">
        <v>7300</v>
      </c>
      <c r="FW105" s="224">
        <f t="shared" si="116"/>
        <v>0</v>
      </c>
      <c r="FX105" s="222">
        <v>7300</v>
      </c>
      <c r="FY105" s="226" t="str">
        <f t="shared" si="141"/>
        <v xml:space="preserve"> </v>
      </c>
      <c r="FZ105" s="312">
        <v>7300</v>
      </c>
      <c r="GA105" s="286">
        <f>FU105*Wirtschaftlichkeit!$X$5/Wirtschaftlichkeit!$X$7</f>
        <v>0</v>
      </c>
      <c r="GB105" s="284">
        <f t="shared" si="118"/>
        <v>0</v>
      </c>
      <c r="GD105" s="222">
        <v>7300</v>
      </c>
      <c r="GE105" s="225" t="str">
        <f>IF($C105&gt;=Wirtschaftlichkeit!$Y$8,Wirtschaftlichkeit!$Y$8,IF(AND($C105&lt;=Wirtschaftlichkeit!$Y$8,$C105&gt;=Wirtschaftlichkeit!$Y$8*Eingabemaske!$B$18),$C105,"0"))</f>
        <v>0</v>
      </c>
      <c r="GF105" s="222">
        <v>7300</v>
      </c>
      <c r="GG105" s="224">
        <f t="shared" si="119"/>
        <v>0</v>
      </c>
      <c r="GH105" s="222">
        <v>7300</v>
      </c>
      <c r="GI105" s="226" t="str">
        <f t="shared" si="142"/>
        <v xml:space="preserve"> </v>
      </c>
      <c r="GJ105" s="312">
        <v>7300</v>
      </c>
      <c r="GK105" s="286">
        <f>GE105*Wirtschaftlichkeit!$Y$5/Wirtschaftlichkeit!$Y$7</f>
        <v>0</v>
      </c>
      <c r="GL105" s="284">
        <f t="shared" si="121"/>
        <v>0</v>
      </c>
      <c r="GN105" s="222">
        <v>7300</v>
      </c>
      <c r="GO105" s="225" t="str">
        <f>IF($C105&gt;=Wirtschaftlichkeit!$Z$8,Wirtschaftlichkeit!$Z$8,IF(AND($C105&lt;=Wirtschaftlichkeit!$Z$8,$C105&gt;=Wirtschaftlichkeit!$Z$8*Eingabemaske!$B$18),$C105,"0"))</f>
        <v>0</v>
      </c>
      <c r="GP105" s="222">
        <v>7300</v>
      </c>
      <c r="GQ105" s="224">
        <f t="shared" si="122"/>
        <v>0</v>
      </c>
      <c r="GR105" s="222">
        <v>7300</v>
      </c>
      <c r="GS105" s="226" t="str">
        <f t="shared" si="143"/>
        <v xml:space="preserve"> </v>
      </c>
      <c r="GT105" s="312">
        <v>7300</v>
      </c>
      <c r="GU105" s="286">
        <f>GO105*Wirtschaftlichkeit!$Z$5/Wirtschaftlichkeit!$Z$7</f>
        <v>0</v>
      </c>
      <c r="GV105" s="284">
        <f t="shared" si="124"/>
        <v>0</v>
      </c>
      <c r="GW105" s="266"/>
      <c r="GX105" s="258">
        <v>7300</v>
      </c>
      <c r="GY105" s="270" t="str">
        <f>IF(Berechnung_Diagramme!$C$28=Berechnungen_Lastgang!$F$2,Berechnungen_Lastgang!G105,IF(Berechnung_Diagramme!$C$28=Berechnungen_Lastgang!$P$2,Berechnungen_Lastgang!Q105,IF(Berechnung_Diagramme!$C$28=Berechnungen_Lastgang!$Z$2,Berechnungen_Lastgang!AA105,IF(Berechnung_Diagramme!$C$28=Berechnungen_Lastgang!$AJ$2,Berechnungen_Lastgang!AK105,IF(Berechnung_Diagramme!$C$28=Berechnungen_Lastgang!$AT$2,Berechnungen_Lastgang!AU105,IF(Berechnung_Diagramme!$C$28=Berechnungen_Lastgang!$BD$2,Berechnungen_Lastgang!BE105,IF(Berechnung_Diagramme!$C$28=Berechnungen_Lastgang!$BN$2,Berechnungen_Lastgang!BO105,IF(Berechnung_Diagramme!$C$28=Berechnungen_Lastgang!$BX$2,Berechnungen_Lastgang!BY105,IF(Berechnung_Diagramme!$C$28=Berechnungen_Lastgang!$CH$2,Berechnungen_Lastgang!CI105,IF(Berechnung_Diagramme!$C$28=Berechnungen_Lastgang!$CR$2,Berechnungen_Lastgang!CS105,IF(Berechnung_Diagramme!$C$28=Berechnungen_Lastgang!$DB$2,Berechnungen_Lastgang!DC105,IF(Berechnung_Diagramme!$C$28=Berechnungen_Lastgang!$DL$2,Berechnungen_Lastgang!DM105,IF(Berechnung_Diagramme!$C$28=Berechnungen_Lastgang!$DV$2,Berechnungen_Lastgang!DW105,IF(Berechnung_Diagramme!$C$28=Berechnungen_Lastgang!$EF$2,Berechnungen_Lastgang!EG105,IF(Berechnung_Diagramme!$C$28=Berechnungen_Lastgang!$EP$2,Berechnungen_Lastgang!EQ105,IF(Berechnung_Diagramme!$C$28=Berechnungen_Lastgang!$EZ$2,Berechnungen_Lastgang!FA105,IF(Berechnung_Diagramme!$C$28=Berechnungen_Lastgang!$FJ$2,Berechnungen_Lastgang!FK105,IF(Berechnung_Diagramme!$C$28=Berechnungen_Lastgang!$FT$2,Berechnungen_Lastgang!FU105,IF(Berechnung_Diagramme!$C$28=Berechnungen_Lastgang!$GD$2,Berechnungen_Lastgang!GE105,IF(Berechnung_Diagramme!$C$28=Berechnungen_Lastgang!$GN$2,Berechnungen_Lastgang!GO105,""))))))))))))))))))))</f>
        <v>0</v>
      </c>
    </row>
    <row r="106" spans="2:207" x14ac:dyDescent="0.25">
      <c r="B106" s="64">
        <v>7373</v>
      </c>
      <c r="C106" s="67">
        <f>C105+((C110-C105)/(B110-B105))*(B106-B105)</f>
        <v>2.57301</v>
      </c>
      <c r="D106" s="66">
        <f t="shared" si="144"/>
        <v>185.78974500000001</v>
      </c>
      <c r="F106" s="64">
        <v>7373</v>
      </c>
      <c r="G106" s="225">
        <f>IF($C106&gt;=Wirtschaftlichkeit!$G$8,Wirtschaftlichkeit!$G$8,IF(AND($C106&lt;=Wirtschaftlichkeit!$G$8,$C106&gt;=Wirtschaftlichkeit!$G$8*Eingabemaske!$B$18),$C106,"0"))</f>
        <v>2.57301</v>
      </c>
      <c r="H106" s="64">
        <v>7373</v>
      </c>
      <c r="I106" s="66">
        <f t="shared" si="145"/>
        <v>185.78974500000001</v>
      </c>
      <c r="J106" s="64">
        <v>7373</v>
      </c>
      <c r="K106" s="71">
        <f t="shared" si="146"/>
        <v>2.57301</v>
      </c>
      <c r="L106" s="312">
        <v>7373</v>
      </c>
      <c r="M106" s="286">
        <f>G106*Wirtschaftlichkeit!$G$5/Wirtschaftlichkeit!$G$7</f>
        <v>0.90812117647058821</v>
      </c>
      <c r="N106" s="284">
        <f t="shared" si="67"/>
        <v>65.572851176470579</v>
      </c>
      <c r="P106" s="222">
        <v>7373</v>
      </c>
      <c r="Q106" s="225" t="str">
        <f>IF($C106&gt;=Wirtschaftlichkeit!$H$8,Wirtschaftlichkeit!$H$8,IF(AND($C106&lt;=Wirtschaftlichkeit!$H$8,$C106&gt;=Wirtschaftlichkeit!$H$8*Eingabemaske!$B$18),$C106,"0"))</f>
        <v>0</v>
      </c>
      <c r="R106" s="222">
        <v>7373</v>
      </c>
      <c r="S106" s="224">
        <f t="shared" si="68"/>
        <v>0</v>
      </c>
      <c r="T106" s="222">
        <v>7373</v>
      </c>
      <c r="U106" s="226" t="str">
        <f t="shared" si="125"/>
        <v xml:space="preserve"> </v>
      </c>
      <c r="V106" s="312">
        <v>7373</v>
      </c>
      <c r="W106" s="286">
        <f>Q106*Wirtschaftlichkeit!$H$5/Wirtschaftlichkeit!$H$7</f>
        <v>0</v>
      </c>
      <c r="X106" s="284">
        <f t="shared" si="70"/>
        <v>0</v>
      </c>
      <c r="Z106" s="222">
        <v>7373</v>
      </c>
      <c r="AA106" s="225" t="str">
        <f>IF($C106&gt;=Wirtschaftlichkeit!$I$8,Wirtschaftlichkeit!$I$8,IF(AND($C106&lt;=Wirtschaftlichkeit!$I$8,$C106&gt;=Wirtschaftlichkeit!$I$8*Eingabemaske!$B$18),$C106,"0"))</f>
        <v>0</v>
      </c>
      <c r="AB106" s="222">
        <v>7373</v>
      </c>
      <c r="AC106" s="224">
        <f t="shared" si="71"/>
        <v>0</v>
      </c>
      <c r="AD106" s="222">
        <v>7373</v>
      </c>
      <c r="AE106" s="226" t="str">
        <f t="shared" si="126"/>
        <v xml:space="preserve"> </v>
      </c>
      <c r="AF106" s="312">
        <v>7373</v>
      </c>
      <c r="AG106" s="286">
        <f>AA106*Wirtschaftlichkeit!$I$5/Wirtschaftlichkeit!$I$7</f>
        <v>0</v>
      </c>
      <c r="AH106" s="284">
        <f t="shared" si="73"/>
        <v>0</v>
      </c>
      <c r="AJ106" s="222">
        <v>7373</v>
      </c>
      <c r="AK106" s="225" t="str">
        <f>IF($C106&gt;=Wirtschaftlichkeit!$J$8,Wirtschaftlichkeit!$J$8,IF(AND($C106&lt;=Wirtschaftlichkeit!$J$8,$C106&gt;=Wirtschaftlichkeit!$J$8*Eingabemaske!$B$18),$C106,"0"))</f>
        <v>0</v>
      </c>
      <c r="AL106" s="222">
        <v>7373</v>
      </c>
      <c r="AM106" s="224">
        <f t="shared" si="74"/>
        <v>0</v>
      </c>
      <c r="AN106" s="222">
        <v>7373</v>
      </c>
      <c r="AO106" s="226" t="str">
        <f t="shared" si="127"/>
        <v xml:space="preserve"> </v>
      </c>
      <c r="AP106" s="312">
        <v>7373</v>
      </c>
      <c r="AQ106" s="286">
        <f>AK106*Wirtschaftlichkeit!$J$5/Wirtschaftlichkeit!$J$7</f>
        <v>0</v>
      </c>
      <c r="AR106" s="284">
        <f t="shared" si="76"/>
        <v>0</v>
      </c>
      <c r="AT106" s="222">
        <v>7373</v>
      </c>
      <c r="AU106" s="225" t="str">
        <f>IF($C106&gt;=Wirtschaftlichkeit!$K$8,Wirtschaftlichkeit!$K$8,IF(AND($C106&lt;=Wirtschaftlichkeit!$K$8,$C106&gt;=Wirtschaftlichkeit!$K$8*Eingabemaske!$B$18),$C106,"0"))</f>
        <v>0</v>
      </c>
      <c r="AV106" s="222">
        <v>7373</v>
      </c>
      <c r="AW106" s="224">
        <f t="shared" si="77"/>
        <v>0</v>
      </c>
      <c r="AX106" s="222">
        <v>7373</v>
      </c>
      <c r="AY106" s="226" t="str">
        <f t="shared" si="128"/>
        <v xml:space="preserve"> </v>
      </c>
      <c r="AZ106" s="312">
        <v>7373</v>
      </c>
      <c r="BA106" s="286">
        <f>AU106*Wirtschaftlichkeit!$K$5/Wirtschaftlichkeit!$K$7</f>
        <v>0</v>
      </c>
      <c r="BB106" s="284">
        <f t="shared" si="79"/>
        <v>0</v>
      </c>
      <c r="BD106" s="222">
        <v>7373</v>
      </c>
      <c r="BE106" s="225" t="str">
        <f>IF($C106&gt;=Wirtschaftlichkeit!$L$8,Wirtschaftlichkeit!$L$8,IF(AND($C106&lt;=Wirtschaftlichkeit!$L$8,$C106&gt;=Wirtschaftlichkeit!$L$8*Eingabemaske!$B$18),$C106,"0"))</f>
        <v>0</v>
      </c>
      <c r="BF106" s="222">
        <v>7373</v>
      </c>
      <c r="BG106" s="224">
        <f t="shared" si="80"/>
        <v>0</v>
      </c>
      <c r="BH106" s="222">
        <v>7373</v>
      </c>
      <c r="BI106" s="226" t="str">
        <f t="shared" si="129"/>
        <v xml:space="preserve"> </v>
      </c>
      <c r="BJ106" s="312">
        <v>7373</v>
      </c>
      <c r="BK106" s="286">
        <f>BE106*Wirtschaftlichkeit!$L$5/Wirtschaftlichkeit!$L$7</f>
        <v>0</v>
      </c>
      <c r="BL106" s="284">
        <f t="shared" si="82"/>
        <v>0</v>
      </c>
      <c r="BN106" s="222">
        <v>7373</v>
      </c>
      <c r="BO106" s="225" t="str">
        <f>IF($C106&gt;=Wirtschaftlichkeit!$M$8,Wirtschaftlichkeit!$M$8,IF(AND($C106&lt;=Wirtschaftlichkeit!$M$8,$C106&gt;=Wirtschaftlichkeit!$M$8*Eingabemaske!$B$18),$C106,"0"))</f>
        <v>0</v>
      </c>
      <c r="BP106" s="222">
        <v>7373</v>
      </c>
      <c r="BQ106" s="224">
        <f t="shared" si="83"/>
        <v>0</v>
      </c>
      <c r="BR106" s="222">
        <v>7373</v>
      </c>
      <c r="BS106" s="226" t="str">
        <f t="shared" si="130"/>
        <v xml:space="preserve"> </v>
      </c>
      <c r="BT106" s="312">
        <v>7373</v>
      </c>
      <c r="BU106" s="286">
        <f>BO106*Wirtschaftlichkeit!$M$5/Wirtschaftlichkeit!$M$7</f>
        <v>0</v>
      </c>
      <c r="BV106" s="284">
        <f t="shared" si="85"/>
        <v>0</v>
      </c>
      <c r="BX106" s="222">
        <v>7373</v>
      </c>
      <c r="BY106" s="225" t="str">
        <f>IF($C106&gt;=Wirtschaftlichkeit!$N$8,Wirtschaftlichkeit!$N$8,IF(AND($C106&lt;=Wirtschaftlichkeit!$N$8,$C106&gt;=Wirtschaftlichkeit!$N$8*Eingabemaske!$B$18),$C106,"0"))</f>
        <v>0</v>
      </c>
      <c r="BZ106" s="222">
        <v>7373</v>
      </c>
      <c r="CA106" s="224">
        <f t="shared" si="86"/>
        <v>0</v>
      </c>
      <c r="CB106" s="222">
        <v>7373</v>
      </c>
      <c r="CC106" s="226" t="str">
        <f t="shared" si="131"/>
        <v xml:space="preserve"> </v>
      </c>
      <c r="CD106" s="312">
        <v>7373</v>
      </c>
      <c r="CE106" s="286">
        <f>BY106*Wirtschaftlichkeit!$N$5/Wirtschaftlichkeit!$N$7</f>
        <v>0</v>
      </c>
      <c r="CF106" s="284">
        <f t="shared" si="88"/>
        <v>0</v>
      </c>
      <c r="CH106" s="222">
        <v>7373</v>
      </c>
      <c r="CI106" s="225" t="str">
        <f>IF($C106&gt;=Wirtschaftlichkeit!$O$8,Wirtschaftlichkeit!$O$8,IF(AND($C106&lt;=Wirtschaftlichkeit!$O$8,$C106&gt;=Wirtschaftlichkeit!$O$8*Eingabemaske!$B$18),$C106,"0"))</f>
        <v>0</v>
      </c>
      <c r="CJ106" s="222">
        <v>7373</v>
      </c>
      <c r="CK106" s="224">
        <f t="shared" si="89"/>
        <v>0</v>
      </c>
      <c r="CL106" s="222">
        <v>7373</v>
      </c>
      <c r="CM106" s="226" t="str">
        <f t="shared" si="132"/>
        <v xml:space="preserve"> </v>
      </c>
      <c r="CN106" s="312">
        <v>7373</v>
      </c>
      <c r="CO106" s="286">
        <f>CI106*Wirtschaftlichkeit!$O$5/Wirtschaftlichkeit!$O$7</f>
        <v>0</v>
      </c>
      <c r="CP106" s="284">
        <f t="shared" si="91"/>
        <v>0</v>
      </c>
      <c r="CR106" s="222">
        <v>7373</v>
      </c>
      <c r="CS106" s="225" t="str">
        <f>IF($C106&gt;=Wirtschaftlichkeit!$P$8,Wirtschaftlichkeit!$P$8,IF(AND($C106&lt;=Wirtschaftlichkeit!$P$8,$C106&gt;=Wirtschaftlichkeit!$P$8*Eingabemaske!$B$18),$C106,"0"))</f>
        <v>0</v>
      </c>
      <c r="CT106" s="222">
        <v>7373</v>
      </c>
      <c r="CU106" s="224">
        <f t="shared" si="92"/>
        <v>0</v>
      </c>
      <c r="CV106" s="222">
        <v>7373</v>
      </c>
      <c r="CW106" s="226" t="str">
        <f t="shared" si="133"/>
        <v xml:space="preserve"> </v>
      </c>
      <c r="CX106" s="312">
        <v>7373</v>
      </c>
      <c r="CY106" s="286">
        <f>CS106*Wirtschaftlichkeit!$P$5/Wirtschaftlichkeit!$P$7</f>
        <v>0</v>
      </c>
      <c r="CZ106" s="284">
        <f t="shared" si="94"/>
        <v>0</v>
      </c>
      <c r="DB106" s="222">
        <v>7373</v>
      </c>
      <c r="DC106" s="225" t="str">
        <f>IF($C106&gt;=Wirtschaftlichkeit!$Q$8,Wirtschaftlichkeit!$Q$8,IF(AND($C106&lt;=Wirtschaftlichkeit!$Q$8,$C106&gt;=Wirtschaftlichkeit!$Q$8*Eingabemaske!$B$18),$C106,"0"))</f>
        <v>0</v>
      </c>
      <c r="DD106" s="222">
        <v>7373</v>
      </c>
      <c r="DE106" s="224">
        <f t="shared" si="95"/>
        <v>0</v>
      </c>
      <c r="DF106" s="222">
        <v>7373</v>
      </c>
      <c r="DG106" s="226" t="str">
        <f t="shared" si="134"/>
        <v xml:space="preserve"> </v>
      </c>
      <c r="DH106" s="312">
        <v>7373</v>
      </c>
      <c r="DI106" s="286">
        <f>DC106*Wirtschaftlichkeit!$Q$5/Wirtschaftlichkeit!$Q$7</f>
        <v>0</v>
      </c>
      <c r="DJ106" s="284">
        <f t="shared" si="97"/>
        <v>0</v>
      </c>
      <c r="DL106" s="222">
        <v>7373</v>
      </c>
      <c r="DM106" s="225" t="str">
        <f>IF($C106&gt;=Wirtschaftlichkeit!$R$8,Wirtschaftlichkeit!$R$8,IF(AND($C106&lt;=Wirtschaftlichkeit!$R$8,$C106&gt;=Wirtschaftlichkeit!$R$8*Eingabemaske!$B$18),$C106,"0"))</f>
        <v>0</v>
      </c>
      <c r="DN106" s="222">
        <v>7373</v>
      </c>
      <c r="DO106" s="224">
        <f t="shared" si="98"/>
        <v>0</v>
      </c>
      <c r="DP106" s="222">
        <v>7373</v>
      </c>
      <c r="DQ106" s="226" t="str">
        <f t="shared" si="135"/>
        <v xml:space="preserve"> </v>
      </c>
      <c r="DR106" s="312">
        <v>7373</v>
      </c>
      <c r="DS106" s="286">
        <f>DM106*Wirtschaftlichkeit!$R$5/Wirtschaftlichkeit!$R$7</f>
        <v>0</v>
      </c>
      <c r="DT106" s="284">
        <f t="shared" si="100"/>
        <v>0</v>
      </c>
      <c r="DV106" s="222">
        <v>7373</v>
      </c>
      <c r="DW106" s="225" t="str">
        <f>IF($C106&gt;=Wirtschaftlichkeit!$S$8,Wirtschaftlichkeit!$S$8,IF(AND($C106&lt;=Wirtschaftlichkeit!$S$8,$C106&gt;=Wirtschaftlichkeit!$S$8*Eingabemaske!$B$18),$C106,"0"))</f>
        <v>0</v>
      </c>
      <c r="DX106" s="222">
        <v>7373</v>
      </c>
      <c r="DY106" s="224">
        <f t="shared" si="101"/>
        <v>0</v>
      </c>
      <c r="DZ106" s="222">
        <v>7373</v>
      </c>
      <c r="EA106" s="226" t="str">
        <f t="shared" si="136"/>
        <v xml:space="preserve"> </v>
      </c>
      <c r="EB106" s="312">
        <v>7373</v>
      </c>
      <c r="EC106" s="286">
        <f>DW106*Wirtschaftlichkeit!$S$5/Wirtschaftlichkeit!$S$7</f>
        <v>0</v>
      </c>
      <c r="ED106" s="284">
        <f t="shared" si="103"/>
        <v>0</v>
      </c>
      <c r="EF106" s="222">
        <v>7373</v>
      </c>
      <c r="EG106" s="225" t="str">
        <f>IF($C106&gt;=Wirtschaftlichkeit!$T$8,Wirtschaftlichkeit!$T$8,IF(AND($C106&lt;=Wirtschaftlichkeit!$T$8,$C106&gt;=Wirtschaftlichkeit!$T$8*Eingabemaske!$B$18),$C106,"0"))</f>
        <v>0</v>
      </c>
      <c r="EH106" s="222">
        <v>7373</v>
      </c>
      <c r="EI106" s="224">
        <f t="shared" si="104"/>
        <v>0</v>
      </c>
      <c r="EJ106" s="222">
        <v>7373</v>
      </c>
      <c r="EK106" s="226" t="str">
        <f t="shared" si="137"/>
        <v xml:space="preserve"> </v>
      </c>
      <c r="EL106" s="312">
        <v>7373</v>
      </c>
      <c r="EM106" s="286">
        <f>EG106*Wirtschaftlichkeit!$T$5/Wirtschaftlichkeit!$T$7</f>
        <v>0</v>
      </c>
      <c r="EN106" s="284">
        <f t="shared" si="106"/>
        <v>0</v>
      </c>
      <c r="EP106" s="222">
        <v>7373</v>
      </c>
      <c r="EQ106" s="225" t="str">
        <f>IF($C106&gt;=Wirtschaftlichkeit!$U$8,Wirtschaftlichkeit!$U$8,IF(AND($C106&lt;=Wirtschaftlichkeit!$U$8,$C106&gt;=Wirtschaftlichkeit!$U$8*Eingabemaske!$B$18),$C106,"0"))</f>
        <v>0</v>
      </c>
      <c r="ER106" s="222">
        <v>7373</v>
      </c>
      <c r="ES106" s="224">
        <f t="shared" si="107"/>
        <v>0</v>
      </c>
      <c r="ET106" s="222">
        <v>7373</v>
      </c>
      <c r="EU106" s="226" t="str">
        <f t="shared" si="138"/>
        <v xml:space="preserve"> </v>
      </c>
      <c r="EV106" s="312">
        <v>7373</v>
      </c>
      <c r="EW106" s="286">
        <f>EQ106*Wirtschaftlichkeit!$U$5/Wirtschaftlichkeit!$U$7</f>
        <v>0</v>
      </c>
      <c r="EX106" s="284">
        <f t="shared" si="109"/>
        <v>0</v>
      </c>
      <c r="EZ106" s="222">
        <v>7373</v>
      </c>
      <c r="FA106" s="225" t="str">
        <f>IF($C106&gt;=Wirtschaftlichkeit!$V$8,Wirtschaftlichkeit!$V$8,IF(AND($C106&lt;=Wirtschaftlichkeit!$V$8,$C106&gt;=Wirtschaftlichkeit!$V$8*Eingabemaske!$B$18),$C106,"0"))</f>
        <v>0</v>
      </c>
      <c r="FB106" s="222">
        <v>7373</v>
      </c>
      <c r="FC106" s="224">
        <f t="shared" si="110"/>
        <v>0</v>
      </c>
      <c r="FD106" s="222">
        <v>7373</v>
      </c>
      <c r="FE106" s="226" t="str">
        <f t="shared" si="139"/>
        <v xml:space="preserve"> </v>
      </c>
      <c r="FF106" s="312">
        <v>7373</v>
      </c>
      <c r="FG106" s="286">
        <f>FA106*Wirtschaftlichkeit!$V$5/Wirtschaftlichkeit!$V$7</f>
        <v>0</v>
      </c>
      <c r="FH106" s="284">
        <f t="shared" si="112"/>
        <v>0</v>
      </c>
      <c r="FJ106" s="222">
        <v>7373</v>
      </c>
      <c r="FK106" s="225" t="str">
        <f>IF($C106&gt;=Wirtschaftlichkeit!$W$8,Wirtschaftlichkeit!$W$8,IF(AND($C106&lt;=Wirtschaftlichkeit!$W$8,$C106&gt;=Wirtschaftlichkeit!$W$8*Eingabemaske!$B$18),$C106,"0"))</f>
        <v>0</v>
      </c>
      <c r="FL106" s="222">
        <v>7373</v>
      </c>
      <c r="FM106" s="224">
        <f t="shared" si="113"/>
        <v>0</v>
      </c>
      <c r="FN106" s="222">
        <v>7373</v>
      </c>
      <c r="FO106" s="226" t="str">
        <f t="shared" si="140"/>
        <v xml:space="preserve"> </v>
      </c>
      <c r="FP106" s="312">
        <v>7373</v>
      </c>
      <c r="FQ106" s="286">
        <f>FK106*Wirtschaftlichkeit!$W$5/Wirtschaftlichkeit!$W$7</f>
        <v>0</v>
      </c>
      <c r="FR106" s="284">
        <f t="shared" si="115"/>
        <v>0</v>
      </c>
      <c r="FT106" s="222">
        <v>7373</v>
      </c>
      <c r="FU106" s="225" t="str">
        <f>IF($C106&gt;=Wirtschaftlichkeit!$X$8,Wirtschaftlichkeit!$X$8,IF(AND($C106&lt;=Wirtschaftlichkeit!$X$8,$C106&gt;=Wirtschaftlichkeit!$X$8*Eingabemaske!$B$18),$C106,"0"))</f>
        <v>0</v>
      </c>
      <c r="FV106" s="222">
        <v>7373</v>
      </c>
      <c r="FW106" s="224">
        <f t="shared" si="116"/>
        <v>0</v>
      </c>
      <c r="FX106" s="222">
        <v>7373</v>
      </c>
      <c r="FY106" s="226" t="str">
        <f t="shared" si="141"/>
        <v xml:space="preserve"> </v>
      </c>
      <c r="FZ106" s="312">
        <v>7373</v>
      </c>
      <c r="GA106" s="286">
        <f>FU106*Wirtschaftlichkeit!$X$5/Wirtschaftlichkeit!$X$7</f>
        <v>0</v>
      </c>
      <c r="GB106" s="284">
        <f t="shared" si="118"/>
        <v>0</v>
      </c>
      <c r="GD106" s="222">
        <v>7373</v>
      </c>
      <c r="GE106" s="225" t="str">
        <f>IF($C106&gt;=Wirtschaftlichkeit!$Y$8,Wirtschaftlichkeit!$Y$8,IF(AND($C106&lt;=Wirtschaftlichkeit!$Y$8,$C106&gt;=Wirtschaftlichkeit!$Y$8*Eingabemaske!$B$18),$C106,"0"))</f>
        <v>0</v>
      </c>
      <c r="GF106" s="222">
        <v>7373</v>
      </c>
      <c r="GG106" s="224">
        <f t="shared" si="119"/>
        <v>0</v>
      </c>
      <c r="GH106" s="222">
        <v>7373</v>
      </c>
      <c r="GI106" s="226" t="str">
        <f t="shared" si="142"/>
        <v xml:space="preserve"> </v>
      </c>
      <c r="GJ106" s="312">
        <v>7373</v>
      </c>
      <c r="GK106" s="286">
        <f>GE106*Wirtschaftlichkeit!$Y$5/Wirtschaftlichkeit!$Y$7</f>
        <v>0</v>
      </c>
      <c r="GL106" s="284">
        <f t="shared" si="121"/>
        <v>0</v>
      </c>
      <c r="GN106" s="222">
        <v>7373</v>
      </c>
      <c r="GO106" s="225" t="str">
        <f>IF($C106&gt;=Wirtschaftlichkeit!$Z$8,Wirtschaftlichkeit!$Z$8,IF(AND($C106&lt;=Wirtschaftlichkeit!$Z$8,$C106&gt;=Wirtschaftlichkeit!$Z$8*Eingabemaske!$B$18),$C106,"0"))</f>
        <v>0</v>
      </c>
      <c r="GP106" s="222">
        <v>7373</v>
      </c>
      <c r="GQ106" s="224">
        <f t="shared" si="122"/>
        <v>0</v>
      </c>
      <c r="GR106" s="222">
        <v>7373</v>
      </c>
      <c r="GS106" s="226" t="str">
        <f t="shared" si="143"/>
        <v xml:space="preserve"> </v>
      </c>
      <c r="GT106" s="312">
        <v>7373</v>
      </c>
      <c r="GU106" s="286">
        <f>GO106*Wirtschaftlichkeit!$Z$5/Wirtschaftlichkeit!$Z$7</f>
        <v>0</v>
      </c>
      <c r="GV106" s="284">
        <f t="shared" si="124"/>
        <v>0</v>
      </c>
      <c r="GW106" s="266"/>
      <c r="GX106" s="258">
        <v>7373</v>
      </c>
      <c r="GY106" s="270" t="str">
        <f>IF(Berechnung_Diagramme!$C$28=Berechnungen_Lastgang!$F$2,Berechnungen_Lastgang!G106,IF(Berechnung_Diagramme!$C$28=Berechnungen_Lastgang!$P$2,Berechnungen_Lastgang!Q106,IF(Berechnung_Diagramme!$C$28=Berechnungen_Lastgang!$Z$2,Berechnungen_Lastgang!AA106,IF(Berechnung_Diagramme!$C$28=Berechnungen_Lastgang!$AJ$2,Berechnungen_Lastgang!AK106,IF(Berechnung_Diagramme!$C$28=Berechnungen_Lastgang!$AT$2,Berechnungen_Lastgang!AU106,IF(Berechnung_Diagramme!$C$28=Berechnungen_Lastgang!$BD$2,Berechnungen_Lastgang!BE106,IF(Berechnung_Diagramme!$C$28=Berechnungen_Lastgang!$BN$2,Berechnungen_Lastgang!BO106,IF(Berechnung_Diagramme!$C$28=Berechnungen_Lastgang!$BX$2,Berechnungen_Lastgang!BY106,IF(Berechnung_Diagramme!$C$28=Berechnungen_Lastgang!$CH$2,Berechnungen_Lastgang!CI106,IF(Berechnung_Diagramme!$C$28=Berechnungen_Lastgang!$CR$2,Berechnungen_Lastgang!CS106,IF(Berechnung_Diagramme!$C$28=Berechnungen_Lastgang!$DB$2,Berechnungen_Lastgang!DC106,IF(Berechnung_Diagramme!$C$28=Berechnungen_Lastgang!$DL$2,Berechnungen_Lastgang!DM106,IF(Berechnung_Diagramme!$C$28=Berechnungen_Lastgang!$DV$2,Berechnungen_Lastgang!DW106,IF(Berechnung_Diagramme!$C$28=Berechnungen_Lastgang!$EF$2,Berechnungen_Lastgang!EG106,IF(Berechnung_Diagramme!$C$28=Berechnungen_Lastgang!$EP$2,Berechnungen_Lastgang!EQ106,IF(Berechnung_Diagramme!$C$28=Berechnungen_Lastgang!$EZ$2,Berechnungen_Lastgang!FA106,IF(Berechnung_Diagramme!$C$28=Berechnungen_Lastgang!$FJ$2,Berechnungen_Lastgang!FK106,IF(Berechnung_Diagramme!$C$28=Berechnungen_Lastgang!$FT$2,Berechnungen_Lastgang!FU106,IF(Berechnung_Diagramme!$C$28=Berechnungen_Lastgang!$GD$2,Berechnungen_Lastgang!GE106,IF(Berechnung_Diagramme!$C$28=Berechnungen_Lastgang!$GN$2,Berechnungen_Lastgang!GO106,""))))))))))))))))))))</f>
        <v>0</v>
      </c>
    </row>
    <row r="107" spans="2:207" x14ac:dyDescent="0.25">
      <c r="B107" s="64">
        <v>7446</v>
      </c>
      <c r="C107" s="67">
        <f>C106+((C110-C106)/(B110-B106))*(B107-B106)</f>
        <v>2.5171200000000002</v>
      </c>
      <c r="D107" s="66">
        <f t="shared" si="144"/>
        <v>181.70977500000004</v>
      </c>
      <c r="F107" s="64">
        <v>7446</v>
      </c>
      <c r="G107" s="225">
        <f>IF($C107&gt;=Wirtschaftlichkeit!$G$8,Wirtschaftlichkeit!$G$8,IF(AND($C107&lt;=Wirtschaftlichkeit!$G$8,$C107&gt;=Wirtschaftlichkeit!$G$8*Eingabemaske!$B$18),$C107,"0"))</f>
        <v>2.5171200000000002</v>
      </c>
      <c r="H107" s="64">
        <v>7446</v>
      </c>
      <c r="I107" s="66">
        <f t="shared" si="145"/>
        <v>181.70977500000004</v>
      </c>
      <c r="J107" s="64">
        <v>7446</v>
      </c>
      <c r="K107" s="71">
        <f t="shared" si="146"/>
        <v>2.5171200000000002</v>
      </c>
      <c r="L107" s="312">
        <v>7446</v>
      </c>
      <c r="M107" s="286">
        <f>G107*Wirtschaftlichkeit!$G$5/Wirtschaftlichkeit!$G$7</f>
        <v>0.88839529411764695</v>
      </c>
      <c r="N107" s="284">
        <f t="shared" si="67"/>
        <v>64.132861764705879</v>
      </c>
      <c r="P107" s="222">
        <v>7446</v>
      </c>
      <c r="Q107" s="225" t="str">
        <f>IF($C107&gt;=Wirtschaftlichkeit!$H$8,Wirtschaftlichkeit!$H$8,IF(AND($C107&lt;=Wirtschaftlichkeit!$H$8,$C107&gt;=Wirtschaftlichkeit!$H$8*Eingabemaske!$B$18),$C107,"0"))</f>
        <v>0</v>
      </c>
      <c r="R107" s="222">
        <v>7446</v>
      </c>
      <c r="S107" s="224">
        <f t="shared" si="68"/>
        <v>0</v>
      </c>
      <c r="T107" s="222">
        <v>7446</v>
      </c>
      <c r="U107" s="226" t="str">
        <f t="shared" si="125"/>
        <v xml:space="preserve"> </v>
      </c>
      <c r="V107" s="312">
        <v>7446</v>
      </c>
      <c r="W107" s="286">
        <f>Q107*Wirtschaftlichkeit!$H$5/Wirtschaftlichkeit!$H$7</f>
        <v>0</v>
      </c>
      <c r="X107" s="284">
        <f t="shared" si="70"/>
        <v>0</v>
      </c>
      <c r="Z107" s="222">
        <v>7446</v>
      </c>
      <c r="AA107" s="225" t="str">
        <f>IF($C107&gt;=Wirtschaftlichkeit!$I$8,Wirtschaftlichkeit!$I$8,IF(AND($C107&lt;=Wirtschaftlichkeit!$I$8,$C107&gt;=Wirtschaftlichkeit!$I$8*Eingabemaske!$B$18),$C107,"0"))</f>
        <v>0</v>
      </c>
      <c r="AB107" s="222">
        <v>7446</v>
      </c>
      <c r="AC107" s="224">
        <f t="shared" si="71"/>
        <v>0</v>
      </c>
      <c r="AD107" s="222">
        <v>7446</v>
      </c>
      <c r="AE107" s="226" t="str">
        <f t="shared" si="126"/>
        <v xml:space="preserve"> </v>
      </c>
      <c r="AF107" s="312">
        <v>7446</v>
      </c>
      <c r="AG107" s="286">
        <f>AA107*Wirtschaftlichkeit!$I$5/Wirtschaftlichkeit!$I$7</f>
        <v>0</v>
      </c>
      <c r="AH107" s="284">
        <f t="shared" si="73"/>
        <v>0</v>
      </c>
      <c r="AJ107" s="222">
        <v>7446</v>
      </c>
      <c r="AK107" s="225" t="str">
        <f>IF($C107&gt;=Wirtschaftlichkeit!$J$8,Wirtschaftlichkeit!$J$8,IF(AND($C107&lt;=Wirtschaftlichkeit!$J$8,$C107&gt;=Wirtschaftlichkeit!$J$8*Eingabemaske!$B$18),$C107,"0"))</f>
        <v>0</v>
      </c>
      <c r="AL107" s="222">
        <v>7446</v>
      </c>
      <c r="AM107" s="224">
        <f t="shared" si="74"/>
        <v>0</v>
      </c>
      <c r="AN107" s="222">
        <v>7446</v>
      </c>
      <c r="AO107" s="226" t="str">
        <f t="shared" si="127"/>
        <v xml:space="preserve"> </v>
      </c>
      <c r="AP107" s="312">
        <v>7446</v>
      </c>
      <c r="AQ107" s="286">
        <f>AK107*Wirtschaftlichkeit!$J$5/Wirtschaftlichkeit!$J$7</f>
        <v>0</v>
      </c>
      <c r="AR107" s="284">
        <f t="shared" si="76"/>
        <v>0</v>
      </c>
      <c r="AT107" s="222">
        <v>7446</v>
      </c>
      <c r="AU107" s="225" t="str">
        <f>IF($C107&gt;=Wirtschaftlichkeit!$K$8,Wirtschaftlichkeit!$K$8,IF(AND($C107&lt;=Wirtschaftlichkeit!$K$8,$C107&gt;=Wirtschaftlichkeit!$K$8*Eingabemaske!$B$18),$C107,"0"))</f>
        <v>0</v>
      </c>
      <c r="AV107" s="222">
        <v>7446</v>
      </c>
      <c r="AW107" s="224">
        <f t="shared" si="77"/>
        <v>0</v>
      </c>
      <c r="AX107" s="222">
        <v>7446</v>
      </c>
      <c r="AY107" s="226" t="str">
        <f t="shared" si="128"/>
        <v xml:space="preserve"> </v>
      </c>
      <c r="AZ107" s="312">
        <v>7446</v>
      </c>
      <c r="BA107" s="286">
        <f>AU107*Wirtschaftlichkeit!$K$5/Wirtschaftlichkeit!$K$7</f>
        <v>0</v>
      </c>
      <c r="BB107" s="284">
        <f t="shared" si="79"/>
        <v>0</v>
      </c>
      <c r="BD107" s="222">
        <v>7446</v>
      </c>
      <c r="BE107" s="225" t="str">
        <f>IF($C107&gt;=Wirtschaftlichkeit!$L$8,Wirtschaftlichkeit!$L$8,IF(AND($C107&lt;=Wirtschaftlichkeit!$L$8,$C107&gt;=Wirtschaftlichkeit!$L$8*Eingabemaske!$B$18),$C107,"0"))</f>
        <v>0</v>
      </c>
      <c r="BF107" s="222">
        <v>7446</v>
      </c>
      <c r="BG107" s="224">
        <f t="shared" si="80"/>
        <v>0</v>
      </c>
      <c r="BH107" s="222">
        <v>7446</v>
      </c>
      <c r="BI107" s="226" t="str">
        <f t="shared" si="129"/>
        <v xml:space="preserve"> </v>
      </c>
      <c r="BJ107" s="312">
        <v>7446</v>
      </c>
      <c r="BK107" s="286">
        <f>BE107*Wirtschaftlichkeit!$L$5/Wirtschaftlichkeit!$L$7</f>
        <v>0</v>
      </c>
      <c r="BL107" s="284">
        <f t="shared" si="82"/>
        <v>0</v>
      </c>
      <c r="BN107" s="222">
        <v>7446</v>
      </c>
      <c r="BO107" s="225" t="str">
        <f>IF($C107&gt;=Wirtschaftlichkeit!$M$8,Wirtschaftlichkeit!$M$8,IF(AND($C107&lt;=Wirtschaftlichkeit!$M$8,$C107&gt;=Wirtschaftlichkeit!$M$8*Eingabemaske!$B$18),$C107,"0"))</f>
        <v>0</v>
      </c>
      <c r="BP107" s="222">
        <v>7446</v>
      </c>
      <c r="BQ107" s="224">
        <f t="shared" si="83"/>
        <v>0</v>
      </c>
      <c r="BR107" s="222">
        <v>7446</v>
      </c>
      <c r="BS107" s="226" t="str">
        <f t="shared" si="130"/>
        <v xml:space="preserve"> </v>
      </c>
      <c r="BT107" s="312">
        <v>7446</v>
      </c>
      <c r="BU107" s="286">
        <f>BO107*Wirtschaftlichkeit!$M$5/Wirtschaftlichkeit!$M$7</f>
        <v>0</v>
      </c>
      <c r="BV107" s="284">
        <f t="shared" si="85"/>
        <v>0</v>
      </c>
      <c r="BX107" s="222">
        <v>7446</v>
      </c>
      <c r="BY107" s="225" t="str">
        <f>IF($C107&gt;=Wirtschaftlichkeit!$N$8,Wirtschaftlichkeit!$N$8,IF(AND($C107&lt;=Wirtschaftlichkeit!$N$8,$C107&gt;=Wirtschaftlichkeit!$N$8*Eingabemaske!$B$18),$C107,"0"))</f>
        <v>0</v>
      </c>
      <c r="BZ107" s="222">
        <v>7446</v>
      </c>
      <c r="CA107" s="224">
        <f t="shared" si="86"/>
        <v>0</v>
      </c>
      <c r="CB107" s="222">
        <v>7446</v>
      </c>
      <c r="CC107" s="226" t="str">
        <f t="shared" si="131"/>
        <v xml:space="preserve"> </v>
      </c>
      <c r="CD107" s="312">
        <v>7446</v>
      </c>
      <c r="CE107" s="286">
        <f>BY107*Wirtschaftlichkeit!$N$5/Wirtschaftlichkeit!$N$7</f>
        <v>0</v>
      </c>
      <c r="CF107" s="284">
        <f t="shared" si="88"/>
        <v>0</v>
      </c>
      <c r="CH107" s="222">
        <v>7446</v>
      </c>
      <c r="CI107" s="225" t="str">
        <f>IF($C107&gt;=Wirtschaftlichkeit!$O$8,Wirtschaftlichkeit!$O$8,IF(AND($C107&lt;=Wirtschaftlichkeit!$O$8,$C107&gt;=Wirtschaftlichkeit!$O$8*Eingabemaske!$B$18),$C107,"0"))</f>
        <v>0</v>
      </c>
      <c r="CJ107" s="222">
        <v>7446</v>
      </c>
      <c r="CK107" s="224">
        <f t="shared" si="89"/>
        <v>0</v>
      </c>
      <c r="CL107" s="222">
        <v>7446</v>
      </c>
      <c r="CM107" s="226" t="str">
        <f t="shared" si="132"/>
        <v xml:space="preserve"> </v>
      </c>
      <c r="CN107" s="312">
        <v>7446</v>
      </c>
      <c r="CO107" s="286">
        <f>CI107*Wirtschaftlichkeit!$O$5/Wirtschaftlichkeit!$O$7</f>
        <v>0</v>
      </c>
      <c r="CP107" s="284">
        <f t="shared" si="91"/>
        <v>0</v>
      </c>
      <c r="CR107" s="222">
        <v>7446</v>
      </c>
      <c r="CS107" s="225" t="str">
        <f>IF($C107&gt;=Wirtschaftlichkeit!$P$8,Wirtschaftlichkeit!$P$8,IF(AND($C107&lt;=Wirtschaftlichkeit!$P$8,$C107&gt;=Wirtschaftlichkeit!$P$8*Eingabemaske!$B$18),$C107,"0"))</f>
        <v>0</v>
      </c>
      <c r="CT107" s="222">
        <v>7446</v>
      </c>
      <c r="CU107" s="224">
        <f t="shared" si="92"/>
        <v>0</v>
      </c>
      <c r="CV107" s="222">
        <v>7446</v>
      </c>
      <c r="CW107" s="226" t="str">
        <f t="shared" si="133"/>
        <v xml:space="preserve"> </v>
      </c>
      <c r="CX107" s="312">
        <v>7446</v>
      </c>
      <c r="CY107" s="286">
        <f>CS107*Wirtschaftlichkeit!$P$5/Wirtschaftlichkeit!$P$7</f>
        <v>0</v>
      </c>
      <c r="CZ107" s="284">
        <f t="shared" si="94"/>
        <v>0</v>
      </c>
      <c r="DB107" s="222">
        <v>7446</v>
      </c>
      <c r="DC107" s="225" t="str">
        <f>IF($C107&gt;=Wirtschaftlichkeit!$Q$8,Wirtschaftlichkeit!$Q$8,IF(AND($C107&lt;=Wirtschaftlichkeit!$Q$8,$C107&gt;=Wirtschaftlichkeit!$Q$8*Eingabemaske!$B$18),$C107,"0"))</f>
        <v>0</v>
      </c>
      <c r="DD107" s="222">
        <v>7446</v>
      </c>
      <c r="DE107" s="224">
        <f t="shared" si="95"/>
        <v>0</v>
      </c>
      <c r="DF107" s="222">
        <v>7446</v>
      </c>
      <c r="DG107" s="226" t="str">
        <f t="shared" si="134"/>
        <v xml:space="preserve"> </v>
      </c>
      <c r="DH107" s="312">
        <v>7446</v>
      </c>
      <c r="DI107" s="286">
        <f>DC107*Wirtschaftlichkeit!$Q$5/Wirtschaftlichkeit!$Q$7</f>
        <v>0</v>
      </c>
      <c r="DJ107" s="284">
        <f t="shared" si="97"/>
        <v>0</v>
      </c>
      <c r="DL107" s="222">
        <v>7446</v>
      </c>
      <c r="DM107" s="225" t="str">
        <f>IF($C107&gt;=Wirtschaftlichkeit!$R$8,Wirtschaftlichkeit!$R$8,IF(AND($C107&lt;=Wirtschaftlichkeit!$R$8,$C107&gt;=Wirtschaftlichkeit!$R$8*Eingabemaske!$B$18),$C107,"0"))</f>
        <v>0</v>
      </c>
      <c r="DN107" s="222">
        <v>7446</v>
      </c>
      <c r="DO107" s="224">
        <f t="shared" si="98"/>
        <v>0</v>
      </c>
      <c r="DP107" s="222">
        <v>7446</v>
      </c>
      <c r="DQ107" s="226" t="str">
        <f t="shared" si="135"/>
        <v xml:space="preserve"> </v>
      </c>
      <c r="DR107" s="312">
        <v>7446</v>
      </c>
      <c r="DS107" s="286">
        <f>DM107*Wirtschaftlichkeit!$R$5/Wirtschaftlichkeit!$R$7</f>
        <v>0</v>
      </c>
      <c r="DT107" s="284">
        <f t="shared" si="100"/>
        <v>0</v>
      </c>
      <c r="DV107" s="222">
        <v>7446</v>
      </c>
      <c r="DW107" s="225" t="str">
        <f>IF($C107&gt;=Wirtschaftlichkeit!$S$8,Wirtschaftlichkeit!$S$8,IF(AND($C107&lt;=Wirtschaftlichkeit!$S$8,$C107&gt;=Wirtschaftlichkeit!$S$8*Eingabemaske!$B$18),$C107,"0"))</f>
        <v>0</v>
      </c>
      <c r="DX107" s="222">
        <v>7446</v>
      </c>
      <c r="DY107" s="224">
        <f t="shared" si="101"/>
        <v>0</v>
      </c>
      <c r="DZ107" s="222">
        <v>7446</v>
      </c>
      <c r="EA107" s="226" t="str">
        <f t="shared" si="136"/>
        <v xml:space="preserve"> </v>
      </c>
      <c r="EB107" s="312">
        <v>7446</v>
      </c>
      <c r="EC107" s="286">
        <f>DW107*Wirtschaftlichkeit!$S$5/Wirtschaftlichkeit!$S$7</f>
        <v>0</v>
      </c>
      <c r="ED107" s="284">
        <f t="shared" si="103"/>
        <v>0</v>
      </c>
      <c r="EF107" s="222">
        <v>7446</v>
      </c>
      <c r="EG107" s="225" t="str">
        <f>IF($C107&gt;=Wirtschaftlichkeit!$T$8,Wirtschaftlichkeit!$T$8,IF(AND($C107&lt;=Wirtschaftlichkeit!$T$8,$C107&gt;=Wirtschaftlichkeit!$T$8*Eingabemaske!$B$18),$C107,"0"))</f>
        <v>0</v>
      </c>
      <c r="EH107" s="222">
        <v>7446</v>
      </c>
      <c r="EI107" s="224">
        <f t="shared" si="104"/>
        <v>0</v>
      </c>
      <c r="EJ107" s="222">
        <v>7446</v>
      </c>
      <c r="EK107" s="226" t="str">
        <f t="shared" si="137"/>
        <v xml:space="preserve"> </v>
      </c>
      <c r="EL107" s="312">
        <v>7446</v>
      </c>
      <c r="EM107" s="286">
        <f>EG107*Wirtschaftlichkeit!$T$5/Wirtschaftlichkeit!$T$7</f>
        <v>0</v>
      </c>
      <c r="EN107" s="284">
        <f t="shared" si="106"/>
        <v>0</v>
      </c>
      <c r="EP107" s="222">
        <v>7446</v>
      </c>
      <c r="EQ107" s="225" t="str">
        <f>IF($C107&gt;=Wirtschaftlichkeit!$U$8,Wirtschaftlichkeit!$U$8,IF(AND($C107&lt;=Wirtschaftlichkeit!$U$8,$C107&gt;=Wirtschaftlichkeit!$U$8*Eingabemaske!$B$18),$C107,"0"))</f>
        <v>0</v>
      </c>
      <c r="ER107" s="222">
        <v>7446</v>
      </c>
      <c r="ES107" s="224">
        <f t="shared" si="107"/>
        <v>0</v>
      </c>
      <c r="ET107" s="222">
        <v>7446</v>
      </c>
      <c r="EU107" s="226" t="str">
        <f t="shared" si="138"/>
        <v xml:space="preserve"> </v>
      </c>
      <c r="EV107" s="312">
        <v>7446</v>
      </c>
      <c r="EW107" s="286">
        <f>EQ107*Wirtschaftlichkeit!$U$5/Wirtschaftlichkeit!$U$7</f>
        <v>0</v>
      </c>
      <c r="EX107" s="284">
        <f t="shared" si="109"/>
        <v>0</v>
      </c>
      <c r="EZ107" s="222">
        <v>7446</v>
      </c>
      <c r="FA107" s="225" t="str">
        <f>IF($C107&gt;=Wirtschaftlichkeit!$V$8,Wirtschaftlichkeit!$V$8,IF(AND($C107&lt;=Wirtschaftlichkeit!$V$8,$C107&gt;=Wirtschaftlichkeit!$V$8*Eingabemaske!$B$18),$C107,"0"))</f>
        <v>0</v>
      </c>
      <c r="FB107" s="222">
        <v>7446</v>
      </c>
      <c r="FC107" s="224">
        <f t="shared" si="110"/>
        <v>0</v>
      </c>
      <c r="FD107" s="222">
        <v>7446</v>
      </c>
      <c r="FE107" s="226" t="str">
        <f t="shared" si="139"/>
        <v xml:space="preserve"> </v>
      </c>
      <c r="FF107" s="312">
        <v>7446</v>
      </c>
      <c r="FG107" s="286">
        <f>FA107*Wirtschaftlichkeit!$V$5/Wirtschaftlichkeit!$V$7</f>
        <v>0</v>
      </c>
      <c r="FH107" s="284">
        <f t="shared" si="112"/>
        <v>0</v>
      </c>
      <c r="FJ107" s="222">
        <v>7446</v>
      </c>
      <c r="FK107" s="225" t="str">
        <f>IF($C107&gt;=Wirtschaftlichkeit!$W$8,Wirtschaftlichkeit!$W$8,IF(AND($C107&lt;=Wirtschaftlichkeit!$W$8,$C107&gt;=Wirtschaftlichkeit!$W$8*Eingabemaske!$B$18),$C107,"0"))</f>
        <v>0</v>
      </c>
      <c r="FL107" s="222">
        <v>7446</v>
      </c>
      <c r="FM107" s="224">
        <f t="shared" si="113"/>
        <v>0</v>
      </c>
      <c r="FN107" s="222">
        <v>7446</v>
      </c>
      <c r="FO107" s="226" t="str">
        <f t="shared" si="140"/>
        <v xml:space="preserve"> </v>
      </c>
      <c r="FP107" s="312">
        <v>7446</v>
      </c>
      <c r="FQ107" s="286">
        <f>FK107*Wirtschaftlichkeit!$W$5/Wirtschaftlichkeit!$W$7</f>
        <v>0</v>
      </c>
      <c r="FR107" s="284">
        <f t="shared" si="115"/>
        <v>0</v>
      </c>
      <c r="FT107" s="222">
        <v>7446</v>
      </c>
      <c r="FU107" s="225" t="str">
        <f>IF($C107&gt;=Wirtschaftlichkeit!$X$8,Wirtschaftlichkeit!$X$8,IF(AND($C107&lt;=Wirtschaftlichkeit!$X$8,$C107&gt;=Wirtschaftlichkeit!$X$8*Eingabemaske!$B$18),$C107,"0"))</f>
        <v>0</v>
      </c>
      <c r="FV107" s="222">
        <v>7446</v>
      </c>
      <c r="FW107" s="224">
        <f t="shared" si="116"/>
        <v>0</v>
      </c>
      <c r="FX107" s="222">
        <v>7446</v>
      </c>
      <c r="FY107" s="226" t="str">
        <f t="shared" si="141"/>
        <v xml:space="preserve"> </v>
      </c>
      <c r="FZ107" s="312">
        <v>7446</v>
      </c>
      <c r="GA107" s="286">
        <f>FU107*Wirtschaftlichkeit!$X$5/Wirtschaftlichkeit!$X$7</f>
        <v>0</v>
      </c>
      <c r="GB107" s="284">
        <f t="shared" si="118"/>
        <v>0</v>
      </c>
      <c r="GD107" s="222">
        <v>7446</v>
      </c>
      <c r="GE107" s="225" t="str">
        <f>IF($C107&gt;=Wirtschaftlichkeit!$Y$8,Wirtschaftlichkeit!$Y$8,IF(AND($C107&lt;=Wirtschaftlichkeit!$Y$8,$C107&gt;=Wirtschaftlichkeit!$Y$8*Eingabemaske!$B$18),$C107,"0"))</f>
        <v>0</v>
      </c>
      <c r="GF107" s="222">
        <v>7446</v>
      </c>
      <c r="GG107" s="224">
        <f t="shared" si="119"/>
        <v>0</v>
      </c>
      <c r="GH107" s="222">
        <v>7446</v>
      </c>
      <c r="GI107" s="226" t="str">
        <f t="shared" si="142"/>
        <v xml:space="preserve"> </v>
      </c>
      <c r="GJ107" s="312">
        <v>7446</v>
      </c>
      <c r="GK107" s="286">
        <f>GE107*Wirtschaftlichkeit!$Y$5/Wirtschaftlichkeit!$Y$7</f>
        <v>0</v>
      </c>
      <c r="GL107" s="284">
        <f t="shared" si="121"/>
        <v>0</v>
      </c>
      <c r="GN107" s="222">
        <v>7446</v>
      </c>
      <c r="GO107" s="225" t="str">
        <f>IF($C107&gt;=Wirtschaftlichkeit!$Z$8,Wirtschaftlichkeit!$Z$8,IF(AND($C107&lt;=Wirtschaftlichkeit!$Z$8,$C107&gt;=Wirtschaftlichkeit!$Z$8*Eingabemaske!$B$18),$C107,"0"))</f>
        <v>0</v>
      </c>
      <c r="GP107" s="222">
        <v>7446</v>
      </c>
      <c r="GQ107" s="224">
        <f t="shared" si="122"/>
        <v>0</v>
      </c>
      <c r="GR107" s="222">
        <v>7446</v>
      </c>
      <c r="GS107" s="226" t="str">
        <f t="shared" si="143"/>
        <v xml:space="preserve"> </v>
      </c>
      <c r="GT107" s="312">
        <v>7446</v>
      </c>
      <c r="GU107" s="286">
        <f>GO107*Wirtschaftlichkeit!$Z$5/Wirtschaftlichkeit!$Z$7</f>
        <v>0</v>
      </c>
      <c r="GV107" s="284">
        <f t="shared" si="124"/>
        <v>0</v>
      </c>
      <c r="GW107" s="266"/>
      <c r="GX107" s="258">
        <v>7446</v>
      </c>
      <c r="GY107" s="270" t="str">
        <f>IF(Berechnung_Diagramme!$C$28=Berechnungen_Lastgang!$F$2,Berechnungen_Lastgang!G107,IF(Berechnung_Diagramme!$C$28=Berechnungen_Lastgang!$P$2,Berechnungen_Lastgang!Q107,IF(Berechnung_Diagramme!$C$28=Berechnungen_Lastgang!$Z$2,Berechnungen_Lastgang!AA107,IF(Berechnung_Diagramme!$C$28=Berechnungen_Lastgang!$AJ$2,Berechnungen_Lastgang!AK107,IF(Berechnung_Diagramme!$C$28=Berechnungen_Lastgang!$AT$2,Berechnungen_Lastgang!AU107,IF(Berechnung_Diagramme!$C$28=Berechnungen_Lastgang!$BD$2,Berechnungen_Lastgang!BE107,IF(Berechnung_Diagramme!$C$28=Berechnungen_Lastgang!$BN$2,Berechnungen_Lastgang!BO107,IF(Berechnung_Diagramme!$C$28=Berechnungen_Lastgang!$BX$2,Berechnungen_Lastgang!BY107,IF(Berechnung_Diagramme!$C$28=Berechnungen_Lastgang!$CH$2,Berechnungen_Lastgang!CI107,IF(Berechnung_Diagramme!$C$28=Berechnungen_Lastgang!$CR$2,Berechnungen_Lastgang!CS107,IF(Berechnung_Diagramme!$C$28=Berechnungen_Lastgang!$DB$2,Berechnungen_Lastgang!DC107,IF(Berechnung_Diagramme!$C$28=Berechnungen_Lastgang!$DL$2,Berechnungen_Lastgang!DM107,IF(Berechnung_Diagramme!$C$28=Berechnungen_Lastgang!$DV$2,Berechnungen_Lastgang!DW107,IF(Berechnung_Diagramme!$C$28=Berechnungen_Lastgang!$EF$2,Berechnungen_Lastgang!EG107,IF(Berechnung_Diagramme!$C$28=Berechnungen_Lastgang!$EP$2,Berechnungen_Lastgang!EQ107,IF(Berechnung_Diagramme!$C$28=Berechnungen_Lastgang!$EZ$2,Berechnungen_Lastgang!FA107,IF(Berechnung_Diagramme!$C$28=Berechnungen_Lastgang!$FJ$2,Berechnungen_Lastgang!FK107,IF(Berechnung_Diagramme!$C$28=Berechnungen_Lastgang!$FT$2,Berechnungen_Lastgang!FU107,IF(Berechnung_Diagramme!$C$28=Berechnungen_Lastgang!$GD$2,Berechnungen_Lastgang!GE107,IF(Berechnung_Diagramme!$C$28=Berechnungen_Lastgang!$GN$2,Berechnungen_Lastgang!GO107,""))))))))))))))))))))</f>
        <v>0</v>
      </c>
    </row>
    <row r="108" spans="2:207" x14ac:dyDescent="0.25">
      <c r="B108" s="64">
        <v>7519</v>
      </c>
      <c r="C108" s="67">
        <f>C107+((C110-C107)/(B110-B107))*(B108-B107)</f>
        <v>2.46123</v>
      </c>
      <c r="D108" s="66">
        <f t="shared" si="144"/>
        <v>177.62980499999998</v>
      </c>
      <c r="F108" s="64">
        <v>7519</v>
      </c>
      <c r="G108" s="225">
        <f>IF($C108&gt;=Wirtschaftlichkeit!$G$8,Wirtschaftlichkeit!$G$8,IF(AND($C108&lt;=Wirtschaftlichkeit!$G$8,$C108&gt;=Wirtschaftlichkeit!$G$8*Eingabemaske!$B$18),$C108,"0"))</f>
        <v>2.46123</v>
      </c>
      <c r="H108" s="64">
        <v>7519</v>
      </c>
      <c r="I108" s="66">
        <f t="shared" si="145"/>
        <v>177.62980499999998</v>
      </c>
      <c r="J108" s="64">
        <v>7519</v>
      </c>
      <c r="K108" s="71">
        <f t="shared" si="146"/>
        <v>2.46123</v>
      </c>
      <c r="L108" s="312">
        <v>7519</v>
      </c>
      <c r="M108" s="286">
        <f>G108*Wirtschaftlichkeit!$G$5/Wirtschaftlichkeit!$G$7</f>
        <v>0.8686694117647058</v>
      </c>
      <c r="N108" s="284">
        <f t="shared" si="67"/>
        <v>62.692872352941173</v>
      </c>
      <c r="P108" s="222">
        <v>7519</v>
      </c>
      <c r="Q108" s="225" t="str">
        <f>IF($C108&gt;=Wirtschaftlichkeit!$H$8,Wirtschaftlichkeit!$H$8,IF(AND($C108&lt;=Wirtschaftlichkeit!$H$8,$C108&gt;=Wirtschaftlichkeit!$H$8*Eingabemaske!$B$18),$C108,"0"))</f>
        <v>0</v>
      </c>
      <c r="R108" s="222">
        <v>7519</v>
      </c>
      <c r="S108" s="224">
        <f t="shared" si="68"/>
        <v>0</v>
      </c>
      <c r="T108" s="222">
        <v>7519</v>
      </c>
      <c r="U108" s="226" t="str">
        <f t="shared" si="125"/>
        <v xml:space="preserve"> </v>
      </c>
      <c r="V108" s="312">
        <v>7519</v>
      </c>
      <c r="W108" s="286">
        <f>Q108*Wirtschaftlichkeit!$H$5/Wirtschaftlichkeit!$H$7</f>
        <v>0</v>
      </c>
      <c r="X108" s="284">
        <f t="shared" si="70"/>
        <v>0</v>
      </c>
      <c r="Z108" s="222">
        <v>7519</v>
      </c>
      <c r="AA108" s="225" t="str">
        <f>IF($C108&gt;=Wirtschaftlichkeit!$I$8,Wirtschaftlichkeit!$I$8,IF(AND($C108&lt;=Wirtschaftlichkeit!$I$8,$C108&gt;=Wirtschaftlichkeit!$I$8*Eingabemaske!$B$18),$C108,"0"))</f>
        <v>0</v>
      </c>
      <c r="AB108" s="222">
        <v>7519</v>
      </c>
      <c r="AC108" s="224">
        <f t="shared" si="71"/>
        <v>0</v>
      </c>
      <c r="AD108" s="222">
        <v>7519</v>
      </c>
      <c r="AE108" s="226" t="str">
        <f t="shared" si="126"/>
        <v xml:space="preserve"> </v>
      </c>
      <c r="AF108" s="312">
        <v>7519</v>
      </c>
      <c r="AG108" s="286">
        <f>AA108*Wirtschaftlichkeit!$I$5/Wirtschaftlichkeit!$I$7</f>
        <v>0</v>
      </c>
      <c r="AH108" s="284">
        <f t="shared" si="73"/>
        <v>0</v>
      </c>
      <c r="AJ108" s="222">
        <v>7519</v>
      </c>
      <c r="AK108" s="225" t="str">
        <f>IF($C108&gt;=Wirtschaftlichkeit!$J$8,Wirtschaftlichkeit!$J$8,IF(AND($C108&lt;=Wirtschaftlichkeit!$J$8,$C108&gt;=Wirtschaftlichkeit!$J$8*Eingabemaske!$B$18),$C108,"0"))</f>
        <v>0</v>
      </c>
      <c r="AL108" s="222">
        <v>7519</v>
      </c>
      <c r="AM108" s="224">
        <f t="shared" si="74"/>
        <v>0</v>
      </c>
      <c r="AN108" s="222">
        <v>7519</v>
      </c>
      <c r="AO108" s="226" t="str">
        <f t="shared" si="127"/>
        <v xml:space="preserve"> </v>
      </c>
      <c r="AP108" s="312">
        <v>7519</v>
      </c>
      <c r="AQ108" s="286">
        <f>AK108*Wirtschaftlichkeit!$J$5/Wirtschaftlichkeit!$J$7</f>
        <v>0</v>
      </c>
      <c r="AR108" s="284">
        <f t="shared" si="76"/>
        <v>0</v>
      </c>
      <c r="AT108" s="222">
        <v>7519</v>
      </c>
      <c r="AU108" s="225" t="str">
        <f>IF($C108&gt;=Wirtschaftlichkeit!$K$8,Wirtschaftlichkeit!$K$8,IF(AND($C108&lt;=Wirtschaftlichkeit!$K$8,$C108&gt;=Wirtschaftlichkeit!$K$8*Eingabemaske!$B$18),$C108,"0"))</f>
        <v>0</v>
      </c>
      <c r="AV108" s="222">
        <v>7519</v>
      </c>
      <c r="AW108" s="224">
        <f t="shared" si="77"/>
        <v>0</v>
      </c>
      <c r="AX108" s="222">
        <v>7519</v>
      </c>
      <c r="AY108" s="226" t="str">
        <f t="shared" si="128"/>
        <v xml:space="preserve"> </v>
      </c>
      <c r="AZ108" s="312">
        <v>7519</v>
      </c>
      <c r="BA108" s="286">
        <f>AU108*Wirtschaftlichkeit!$K$5/Wirtschaftlichkeit!$K$7</f>
        <v>0</v>
      </c>
      <c r="BB108" s="284">
        <f t="shared" si="79"/>
        <v>0</v>
      </c>
      <c r="BD108" s="222">
        <v>7519</v>
      </c>
      <c r="BE108" s="225" t="str">
        <f>IF($C108&gt;=Wirtschaftlichkeit!$L$8,Wirtschaftlichkeit!$L$8,IF(AND($C108&lt;=Wirtschaftlichkeit!$L$8,$C108&gt;=Wirtschaftlichkeit!$L$8*Eingabemaske!$B$18),$C108,"0"))</f>
        <v>0</v>
      </c>
      <c r="BF108" s="222">
        <v>7519</v>
      </c>
      <c r="BG108" s="224">
        <f t="shared" si="80"/>
        <v>0</v>
      </c>
      <c r="BH108" s="222">
        <v>7519</v>
      </c>
      <c r="BI108" s="226" t="str">
        <f t="shared" si="129"/>
        <v xml:space="preserve"> </v>
      </c>
      <c r="BJ108" s="312">
        <v>7519</v>
      </c>
      <c r="BK108" s="286">
        <f>BE108*Wirtschaftlichkeit!$L$5/Wirtschaftlichkeit!$L$7</f>
        <v>0</v>
      </c>
      <c r="BL108" s="284">
        <f t="shared" si="82"/>
        <v>0</v>
      </c>
      <c r="BN108" s="222">
        <v>7519</v>
      </c>
      <c r="BO108" s="225" t="str">
        <f>IF($C108&gt;=Wirtschaftlichkeit!$M$8,Wirtschaftlichkeit!$M$8,IF(AND($C108&lt;=Wirtschaftlichkeit!$M$8,$C108&gt;=Wirtschaftlichkeit!$M$8*Eingabemaske!$B$18),$C108,"0"))</f>
        <v>0</v>
      </c>
      <c r="BP108" s="222">
        <v>7519</v>
      </c>
      <c r="BQ108" s="224">
        <f t="shared" si="83"/>
        <v>0</v>
      </c>
      <c r="BR108" s="222">
        <v>7519</v>
      </c>
      <c r="BS108" s="226" t="str">
        <f t="shared" si="130"/>
        <v xml:space="preserve"> </v>
      </c>
      <c r="BT108" s="312">
        <v>7519</v>
      </c>
      <c r="BU108" s="286">
        <f>BO108*Wirtschaftlichkeit!$M$5/Wirtschaftlichkeit!$M$7</f>
        <v>0</v>
      </c>
      <c r="BV108" s="284">
        <f t="shared" si="85"/>
        <v>0</v>
      </c>
      <c r="BX108" s="222">
        <v>7519</v>
      </c>
      <c r="BY108" s="225" t="str">
        <f>IF($C108&gt;=Wirtschaftlichkeit!$N$8,Wirtschaftlichkeit!$N$8,IF(AND($C108&lt;=Wirtschaftlichkeit!$N$8,$C108&gt;=Wirtschaftlichkeit!$N$8*Eingabemaske!$B$18),$C108,"0"))</f>
        <v>0</v>
      </c>
      <c r="BZ108" s="222">
        <v>7519</v>
      </c>
      <c r="CA108" s="224">
        <f t="shared" si="86"/>
        <v>0</v>
      </c>
      <c r="CB108" s="222">
        <v>7519</v>
      </c>
      <c r="CC108" s="226" t="str">
        <f t="shared" si="131"/>
        <v xml:space="preserve"> </v>
      </c>
      <c r="CD108" s="312">
        <v>7519</v>
      </c>
      <c r="CE108" s="286">
        <f>BY108*Wirtschaftlichkeit!$N$5/Wirtschaftlichkeit!$N$7</f>
        <v>0</v>
      </c>
      <c r="CF108" s="284">
        <f t="shared" si="88"/>
        <v>0</v>
      </c>
      <c r="CH108" s="222">
        <v>7519</v>
      </c>
      <c r="CI108" s="225" t="str">
        <f>IF($C108&gt;=Wirtschaftlichkeit!$O$8,Wirtschaftlichkeit!$O$8,IF(AND($C108&lt;=Wirtschaftlichkeit!$O$8,$C108&gt;=Wirtschaftlichkeit!$O$8*Eingabemaske!$B$18),$C108,"0"))</f>
        <v>0</v>
      </c>
      <c r="CJ108" s="222">
        <v>7519</v>
      </c>
      <c r="CK108" s="224">
        <f t="shared" si="89"/>
        <v>0</v>
      </c>
      <c r="CL108" s="222">
        <v>7519</v>
      </c>
      <c r="CM108" s="226" t="str">
        <f t="shared" si="132"/>
        <v xml:space="preserve"> </v>
      </c>
      <c r="CN108" s="312">
        <v>7519</v>
      </c>
      <c r="CO108" s="286">
        <f>CI108*Wirtschaftlichkeit!$O$5/Wirtschaftlichkeit!$O$7</f>
        <v>0</v>
      </c>
      <c r="CP108" s="284">
        <f t="shared" si="91"/>
        <v>0</v>
      </c>
      <c r="CR108" s="222">
        <v>7519</v>
      </c>
      <c r="CS108" s="225" t="str">
        <f>IF($C108&gt;=Wirtschaftlichkeit!$P$8,Wirtschaftlichkeit!$P$8,IF(AND($C108&lt;=Wirtschaftlichkeit!$P$8,$C108&gt;=Wirtschaftlichkeit!$P$8*Eingabemaske!$B$18),$C108,"0"))</f>
        <v>0</v>
      </c>
      <c r="CT108" s="222">
        <v>7519</v>
      </c>
      <c r="CU108" s="224">
        <f t="shared" si="92"/>
        <v>0</v>
      </c>
      <c r="CV108" s="222">
        <v>7519</v>
      </c>
      <c r="CW108" s="226" t="str">
        <f t="shared" si="133"/>
        <v xml:space="preserve"> </v>
      </c>
      <c r="CX108" s="312">
        <v>7519</v>
      </c>
      <c r="CY108" s="286">
        <f>CS108*Wirtschaftlichkeit!$P$5/Wirtschaftlichkeit!$P$7</f>
        <v>0</v>
      </c>
      <c r="CZ108" s="284">
        <f t="shared" si="94"/>
        <v>0</v>
      </c>
      <c r="DB108" s="222">
        <v>7519</v>
      </c>
      <c r="DC108" s="225" t="str">
        <f>IF($C108&gt;=Wirtschaftlichkeit!$Q$8,Wirtschaftlichkeit!$Q$8,IF(AND($C108&lt;=Wirtschaftlichkeit!$Q$8,$C108&gt;=Wirtschaftlichkeit!$Q$8*Eingabemaske!$B$18),$C108,"0"))</f>
        <v>0</v>
      </c>
      <c r="DD108" s="222">
        <v>7519</v>
      </c>
      <c r="DE108" s="224">
        <f t="shared" si="95"/>
        <v>0</v>
      </c>
      <c r="DF108" s="222">
        <v>7519</v>
      </c>
      <c r="DG108" s="226" t="str">
        <f t="shared" si="134"/>
        <v xml:space="preserve"> </v>
      </c>
      <c r="DH108" s="312">
        <v>7519</v>
      </c>
      <c r="DI108" s="286">
        <f>DC108*Wirtschaftlichkeit!$Q$5/Wirtschaftlichkeit!$Q$7</f>
        <v>0</v>
      </c>
      <c r="DJ108" s="284">
        <f t="shared" si="97"/>
        <v>0</v>
      </c>
      <c r="DL108" s="222">
        <v>7519</v>
      </c>
      <c r="DM108" s="225" t="str">
        <f>IF($C108&gt;=Wirtschaftlichkeit!$R$8,Wirtschaftlichkeit!$R$8,IF(AND($C108&lt;=Wirtschaftlichkeit!$R$8,$C108&gt;=Wirtschaftlichkeit!$R$8*Eingabemaske!$B$18),$C108,"0"))</f>
        <v>0</v>
      </c>
      <c r="DN108" s="222">
        <v>7519</v>
      </c>
      <c r="DO108" s="224">
        <f t="shared" si="98"/>
        <v>0</v>
      </c>
      <c r="DP108" s="222">
        <v>7519</v>
      </c>
      <c r="DQ108" s="226" t="str">
        <f t="shared" si="135"/>
        <v xml:space="preserve"> </v>
      </c>
      <c r="DR108" s="312">
        <v>7519</v>
      </c>
      <c r="DS108" s="286">
        <f>DM108*Wirtschaftlichkeit!$R$5/Wirtschaftlichkeit!$R$7</f>
        <v>0</v>
      </c>
      <c r="DT108" s="284">
        <f t="shared" si="100"/>
        <v>0</v>
      </c>
      <c r="DV108" s="222">
        <v>7519</v>
      </c>
      <c r="DW108" s="225" t="str">
        <f>IF($C108&gt;=Wirtschaftlichkeit!$S$8,Wirtschaftlichkeit!$S$8,IF(AND($C108&lt;=Wirtschaftlichkeit!$S$8,$C108&gt;=Wirtschaftlichkeit!$S$8*Eingabemaske!$B$18),$C108,"0"))</f>
        <v>0</v>
      </c>
      <c r="DX108" s="222">
        <v>7519</v>
      </c>
      <c r="DY108" s="224">
        <f t="shared" si="101"/>
        <v>0</v>
      </c>
      <c r="DZ108" s="222">
        <v>7519</v>
      </c>
      <c r="EA108" s="226" t="str">
        <f t="shared" si="136"/>
        <v xml:space="preserve"> </v>
      </c>
      <c r="EB108" s="312">
        <v>7519</v>
      </c>
      <c r="EC108" s="286">
        <f>DW108*Wirtschaftlichkeit!$S$5/Wirtschaftlichkeit!$S$7</f>
        <v>0</v>
      </c>
      <c r="ED108" s="284">
        <f t="shared" si="103"/>
        <v>0</v>
      </c>
      <c r="EF108" s="222">
        <v>7519</v>
      </c>
      <c r="EG108" s="225" t="str">
        <f>IF($C108&gt;=Wirtschaftlichkeit!$T$8,Wirtschaftlichkeit!$T$8,IF(AND($C108&lt;=Wirtschaftlichkeit!$T$8,$C108&gt;=Wirtschaftlichkeit!$T$8*Eingabemaske!$B$18),$C108,"0"))</f>
        <v>0</v>
      </c>
      <c r="EH108" s="222">
        <v>7519</v>
      </c>
      <c r="EI108" s="224">
        <f t="shared" si="104"/>
        <v>0</v>
      </c>
      <c r="EJ108" s="222">
        <v>7519</v>
      </c>
      <c r="EK108" s="226" t="str">
        <f t="shared" si="137"/>
        <v xml:space="preserve"> </v>
      </c>
      <c r="EL108" s="312">
        <v>7519</v>
      </c>
      <c r="EM108" s="286">
        <f>EG108*Wirtschaftlichkeit!$T$5/Wirtschaftlichkeit!$T$7</f>
        <v>0</v>
      </c>
      <c r="EN108" s="284">
        <f t="shared" si="106"/>
        <v>0</v>
      </c>
      <c r="EP108" s="222">
        <v>7519</v>
      </c>
      <c r="EQ108" s="225" t="str">
        <f>IF($C108&gt;=Wirtschaftlichkeit!$U$8,Wirtschaftlichkeit!$U$8,IF(AND($C108&lt;=Wirtschaftlichkeit!$U$8,$C108&gt;=Wirtschaftlichkeit!$U$8*Eingabemaske!$B$18),$C108,"0"))</f>
        <v>0</v>
      </c>
      <c r="ER108" s="222">
        <v>7519</v>
      </c>
      <c r="ES108" s="224">
        <f t="shared" si="107"/>
        <v>0</v>
      </c>
      <c r="ET108" s="222">
        <v>7519</v>
      </c>
      <c r="EU108" s="226" t="str">
        <f t="shared" si="138"/>
        <v xml:space="preserve"> </v>
      </c>
      <c r="EV108" s="312">
        <v>7519</v>
      </c>
      <c r="EW108" s="286">
        <f>EQ108*Wirtschaftlichkeit!$U$5/Wirtschaftlichkeit!$U$7</f>
        <v>0</v>
      </c>
      <c r="EX108" s="284">
        <f t="shared" si="109"/>
        <v>0</v>
      </c>
      <c r="EZ108" s="222">
        <v>7519</v>
      </c>
      <c r="FA108" s="225" t="str">
        <f>IF($C108&gt;=Wirtschaftlichkeit!$V$8,Wirtschaftlichkeit!$V$8,IF(AND($C108&lt;=Wirtschaftlichkeit!$V$8,$C108&gt;=Wirtschaftlichkeit!$V$8*Eingabemaske!$B$18),$C108,"0"))</f>
        <v>0</v>
      </c>
      <c r="FB108" s="222">
        <v>7519</v>
      </c>
      <c r="FC108" s="224">
        <f t="shared" si="110"/>
        <v>0</v>
      </c>
      <c r="FD108" s="222">
        <v>7519</v>
      </c>
      <c r="FE108" s="226" t="str">
        <f t="shared" si="139"/>
        <v xml:space="preserve"> </v>
      </c>
      <c r="FF108" s="312">
        <v>7519</v>
      </c>
      <c r="FG108" s="286">
        <f>FA108*Wirtschaftlichkeit!$V$5/Wirtschaftlichkeit!$V$7</f>
        <v>0</v>
      </c>
      <c r="FH108" s="284">
        <f t="shared" si="112"/>
        <v>0</v>
      </c>
      <c r="FJ108" s="222">
        <v>7519</v>
      </c>
      <c r="FK108" s="225" t="str">
        <f>IF($C108&gt;=Wirtschaftlichkeit!$W$8,Wirtschaftlichkeit!$W$8,IF(AND($C108&lt;=Wirtschaftlichkeit!$W$8,$C108&gt;=Wirtschaftlichkeit!$W$8*Eingabemaske!$B$18),$C108,"0"))</f>
        <v>0</v>
      </c>
      <c r="FL108" s="222">
        <v>7519</v>
      </c>
      <c r="FM108" s="224">
        <f t="shared" si="113"/>
        <v>0</v>
      </c>
      <c r="FN108" s="222">
        <v>7519</v>
      </c>
      <c r="FO108" s="226" t="str">
        <f t="shared" si="140"/>
        <v xml:space="preserve"> </v>
      </c>
      <c r="FP108" s="312">
        <v>7519</v>
      </c>
      <c r="FQ108" s="286">
        <f>FK108*Wirtschaftlichkeit!$W$5/Wirtschaftlichkeit!$W$7</f>
        <v>0</v>
      </c>
      <c r="FR108" s="284">
        <f t="shared" si="115"/>
        <v>0</v>
      </c>
      <c r="FT108" s="222">
        <v>7519</v>
      </c>
      <c r="FU108" s="225" t="str">
        <f>IF($C108&gt;=Wirtschaftlichkeit!$X$8,Wirtschaftlichkeit!$X$8,IF(AND($C108&lt;=Wirtschaftlichkeit!$X$8,$C108&gt;=Wirtschaftlichkeit!$X$8*Eingabemaske!$B$18),$C108,"0"))</f>
        <v>0</v>
      </c>
      <c r="FV108" s="222">
        <v>7519</v>
      </c>
      <c r="FW108" s="224">
        <f t="shared" si="116"/>
        <v>0</v>
      </c>
      <c r="FX108" s="222">
        <v>7519</v>
      </c>
      <c r="FY108" s="226" t="str">
        <f t="shared" si="141"/>
        <v xml:space="preserve"> </v>
      </c>
      <c r="FZ108" s="312">
        <v>7519</v>
      </c>
      <c r="GA108" s="286">
        <f>FU108*Wirtschaftlichkeit!$X$5/Wirtschaftlichkeit!$X$7</f>
        <v>0</v>
      </c>
      <c r="GB108" s="284">
        <f t="shared" si="118"/>
        <v>0</v>
      </c>
      <c r="GD108" s="222">
        <v>7519</v>
      </c>
      <c r="GE108" s="225" t="str">
        <f>IF($C108&gt;=Wirtschaftlichkeit!$Y$8,Wirtschaftlichkeit!$Y$8,IF(AND($C108&lt;=Wirtschaftlichkeit!$Y$8,$C108&gt;=Wirtschaftlichkeit!$Y$8*Eingabemaske!$B$18),$C108,"0"))</f>
        <v>0</v>
      </c>
      <c r="GF108" s="222">
        <v>7519</v>
      </c>
      <c r="GG108" s="224">
        <f t="shared" si="119"/>
        <v>0</v>
      </c>
      <c r="GH108" s="222">
        <v>7519</v>
      </c>
      <c r="GI108" s="226" t="str">
        <f t="shared" si="142"/>
        <v xml:space="preserve"> </v>
      </c>
      <c r="GJ108" s="312">
        <v>7519</v>
      </c>
      <c r="GK108" s="286">
        <f>GE108*Wirtschaftlichkeit!$Y$5/Wirtschaftlichkeit!$Y$7</f>
        <v>0</v>
      </c>
      <c r="GL108" s="284">
        <f t="shared" si="121"/>
        <v>0</v>
      </c>
      <c r="GN108" s="222">
        <v>7519</v>
      </c>
      <c r="GO108" s="225" t="str">
        <f>IF($C108&gt;=Wirtschaftlichkeit!$Z$8,Wirtschaftlichkeit!$Z$8,IF(AND($C108&lt;=Wirtschaftlichkeit!$Z$8,$C108&gt;=Wirtschaftlichkeit!$Z$8*Eingabemaske!$B$18),$C108,"0"))</f>
        <v>0</v>
      </c>
      <c r="GP108" s="222">
        <v>7519</v>
      </c>
      <c r="GQ108" s="224">
        <f t="shared" si="122"/>
        <v>0</v>
      </c>
      <c r="GR108" s="222">
        <v>7519</v>
      </c>
      <c r="GS108" s="226" t="str">
        <f t="shared" si="143"/>
        <v xml:space="preserve"> </v>
      </c>
      <c r="GT108" s="312">
        <v>7519</v>
      </c>
      <c r="GU108" s="286">
        <f>GO108*Wirtschaftlichkeit!$Z$5/Wirtschaftlichkeit!$Z$7</f>
        <v>0</v>
      </c>
      <c r="GV108" s="284">
        <f t="shared" si="124"/>
        <v>0</v>
      </c>
      <c r="GW108" s="266"/>
      <c r="GX108" s="258">
        <v>7519</v>
      </c>
      <c r="GY108" s="270" t="str">
        <f>IF(Berechnung_Diagramme!$C$28=Berechnungen_Lastgang!$F$2,Berechnungen_Lastgang!G108,IF(Berechnung_Diagramme!$C$28=Berechnungen_Lastgang!$P$2,Berechnungen_Lastgang!Q108,IF(Berechnung_Diagramme!$C$28=Berechnungen_Lastgang!$Z$2,Berechnungen_Lastgang!AA108,IF(Berechnung_Diagramme!$C$28=Berechnungen_Lastgang!$AJ$2,Berechnungen_Lastgang!AK108,IF(Berechnung_Diagramme!$C$28=Berechnungen_Lastgang!$AT$2,Berechnungen_Lastgang!AU108,IF(Berechnung_Diagramme!$C$28=Berechnungen_Lastgang!$BD$2,Berechnungen_Lastgang!BE108,IF(Berechnung_Diagramme!$C$28=Berechnungen_Lastgang!$BN$2,Berechnungen_Lastgang!BO108,IF(Berechnung_Diagramme!$C$28=Berechnungen_Lastgang!$BX$2,Berechnungen_Lastgang!BY108,IF(Berechnung_Diagramme!$C$28=Berechnungen_Lastgang!$CH$2,Berechnungen_Lastgang!CI108,IF(Berechnung_Diagramme!$C$28=Berechnungen_Lastgang!$CR$2,Berechnungen_Lastgang!CS108,IF(Berechnung_Diagramme!$C$28=Berechnungen_Lastgang!$DB$2,Berechnungen_Lastgang!DC108,IF(Berechnung_Diagramme!$C$28=Berechnungen_Lastgang!$DL$2,Berechnungen_Lastgang!DM108,IF(Berechnung_Diagramme!$C$28=Berechnungen_Lastgang!$DV$2,Berechnungen_Lastgang!DW108,IF(Berechnung_Diagramme!$C$28=Berechnungen_Lastgang!$EF$2,Berechnungen_Lastgang!EG108,IF(Berechnung_Diagramme!$C$28=Berechnungen_Lastgang!$EP$2,Berechnungen_Lastgang!EQ108,IF(Berechnung_Diagramme!$C$28=Berechnungen_Lastgang!$EZ$2,Berechnungen_Lastgang!FA108,IF(Berechnung_Diagramme!$C$28=Berechnungen_Lastgang!$FJ$2,Berechnungen_Lastgang!FK108,IF(Berechnung_Diagramme!$C$28=Berechnungen_Lastgang!$FT$2,Berechnungen_Lastgang!FU108,IF(Berechnung_Diagramme!$C$28=Berechnungen_Lastgang!$GD$2,Berechnungen_Lastgang!GE108,IF(Berechnung_Diagramme!$C$28=Berechnungen_Lastgang!$GN$2,Berechnungen_Lastgang!GO108,""))))))))))))))))))))</f>
        <v>0</v>
      </c>
    </row>
    <row r="109" spans="2:207" x14ac:dyDescent="0.25">
      <c r="B109" s="64">
        <v>7592</v>
      </c>
      <c r="C109" s="67">
        <f>C108+((C110-C108)/(B110-B108))*(B109-B108)</f>
        <v>2.4053399999999998</v>
      </c>
      <c r="D109" s="66">
        <f t="shared" si="144"/>
        <v>173.549835</v>
      </c>
      <c r="F109" s="64">
        <v>7592</v>
      </c>
      <c r="G109" s="225">
        <f>IF($C109&gt;=Wirtschaftlichkeit!$G$8,Wirtschaftlichkeit!$G$8,IF(AND($C109&lt;=Wirtschaftlichkeit!$G$8,$C109&gt;=Wirtschaftlichkeit!$G$8*Eingabemaske!$B$18),$C109,"0"))</f>
        <v>2.4053399999999998</v>
      </c>
      <c r="H109" s="64">
        <v>7592</v>
      </c>
      <c r="I109" s="66">
        <f t="shared" si="145"/>
        <v>173.549835</v>
      </c>
      <c r="J109" s="64">
        <v>7592</v>
      </c>
      <c r="K109" s="71">
        <f t="shared" si="146"/>
        <v>2.4053399999999998</v>
      </c>
      <c r="L109" s="312">
        <v>7592</v>
      </c>
      <c r="M109" s="286">
        <f>G109*Wirtschaftlichkeit!$G$5/Wirtschaftlichkeit!$G$7</f>
        <v>0.84894352941176454</v>
      </c>
      <c r="N109" s="284">
        <f t="shared" si="67"/>
        <v>61.252882941176466</v>
      </c>
      <c r="P109" s="222">
        <v>7592</v>
      </c>
      <c r="Q109" s="225" t="str">
        <f>IF($C109&gt;=Wirtschaftlichkeit!$H$8,Wirtschaftlichkeit!$H$8,IF(AND($C109&lt;=Wirtschaftlichkeit!$H$8,$C109&gt;=Wirtschaftlichkeit!$H$8*Eingabemaske!$B$18),$C109,"0"))</f>
        <v>0</v>
      </c>
      <c r="R109" s="222">
        <v>7592</v>
      </c>
      <c r="S109" s="224">
        <f t="shared" si="68"/>
        <v>0</v>
      </c>
      <c r="T109" s="222">
        <v>7592</v>
      </c>
      <c r="U109" s="226" t="str">
        <f t="shared" si="125"/>
        <v xml:space="preserve"> </v>
      </c>
      <c r="V109" s="312">
        <v>7592</v>
      </c>
      <c r="W109" s="286">
        <f>Q109*Wirtschaftlichkeit!$H$5/Wirtschaftlichkeit!$H$7</f>
        <v>0</v>
      </c>
      <c r="X109" s="284">
        <f t="shared" si="70"/>
        <v>0</v>
      </c>
      <c r="Z109" s="222">
        <v>7592</v>
      </c>
      <c r="AA109" s="225" t="str">
        <f>IF($C109&gt;=Wirtschaftlichkeit!$I$8,Wirtschaftlichkeit!$I$8,IF(AND($C109&lt;=Wirtschaftlichkeit!$I$8,$C109&gt;=Wirtschaftlichkeit!$I$8*Eingabemaske!$B$18),$C109,"0"))</f>
        <v>0</v>
      </c>
      <c r="AB109" s="222">
        <v>7592</v>
      </c>
      <c r="AC109" s="224">
        <f t="shared" si="71"/>
        <v>0</v>
      </c>
      <c r="AD109" s="222">
        <v>7592</v>
      </c>
      <c r="AE109" s="226" t="str">
        <f t="shared" si="126"/>
        <v xml:space="preserve"> </v>
      </c>
      <c r="AF109" s="312">
        <v>7592</v>
      </c>
      <c r="AG109" s="286">
        <f>AA109*Wirtschaftlichkeit!$I$5/Wirtschaftlichkeit!$I$7</f>
        <v>0</v>
      </c>
      <c r="AH109" s="284">
        <f t="shared" si="73"/>
        <v>0</v>
      </c>
      <c r="AJ109" s="222">
        <v>7592</v>
      </c>
      <c r="AK109" s="225" t="str">
        <f>IF($C109&gt;=Wirtschaftlichkeit!$J$8,Wirtschaftlichkeit!$J$8,IF(AND($C109&lt;=Wirtschaftlichkeit!$J$8,$C109&gt;=Wirtschaftlichkeit!$J$8*Eingabemaske!$B$18),$C109,"0"))</f>
        <v>0</v>
      </c>
      <c r="AL109" s="222">
        <v>7592</v>
      </c>
      <c r="AM109" s="224">
        <f t="shared" si="74"/>
        <v>0</v>
      </c>
      <c r="AN109" s="222">
        <v>7592</v>
      </c>
      <c r="AO109" s="226" t="str">
        <f t="shared" si="127"/>
        <v xml:space="preserve"> </v>
      </c>
      <c r="AP109" s="312">
        <v>7592</v>
      </c>
      <c r="AQ109" s="286">
        <f>AK109*Wirtschaftlichkeit!$J$5/Wirtschaftlichkeit!$J$7</f>
        <v>0</v>
      </c>
      <c r="AR109" s="284">
        <f t="shared" si="76"/>
        <v>0</v>
      </c>
      <c r="AT109" s="222">
        <v>7592</v>
      </c>
      <c r="AU109" s="225" t="str">
        <f>IF($C109&gt;=Wirtschaftlichkeit!$K$8,Wirtschaftlichkeit!$K$8,IF(AND($C109&lt;=Wirtschaftlichkeit!$K$8,$C109&gt;=Wirtschaftlichkeit!$K$8*Eingabemaske!$B$18),$C109,"0"))</f>
        <v>0</v>
      </c>
      <c r="AV109" s="222">
        <v>7592</v>
      </c>
      <c r="AW109" s="224">
        <f t="shared" si="77"/>
        <v>0</v>
      </c>
      <c r="AX109" s="222">
        <v>7592</v>
      </c>
      <c r="AY109" s="226" t="str">
        <f t="shared" si="128"/>
        <v xml:space="preserve"> </v>
      </c>
      <c r="AZ109" s="312">
        <v>7592</v>
      </c>
      <c r="BA109" s="286">
        <f>AU109*Wirtschaftlichkeit!$K$5/Wirtschaftlichkeit!$K$7</f>
        <v>0</v>
      </c>
      <c r="BB109" s="284">
        <f t="shared" si="79"/>
        <v>0</v>
      </c>
      <c r="BD109" s="222">
        <v>7592</v>
      </c>
      <c r="BE109" s="225" t="str">
        <f>IF($C109&gt;=Wirtschaftlichkeit!$L$8,Wirtschaftlichkeit!$L$8,IF(AND($C109&lt;=Wirtschaftlichkeit!$L$8,$C109&gt;=Wirtschaftlichkeit!$L$8*Eingabemaske!$B$18),$C109,"0"))</f>
        <v>0</v>
      </c>
      <c r="BF109" s="222">
        <v>7592</v>
      </c>
      <c r="BG109" s="224">
        <f t="shared" si="80"/>
        <v>0</v>
      </c>
      <c r="BH109" s="222">
        <v>7592</v>
      </c>
      <c r="BI109" s="226" t="str">
        <f t="shared" si="129"/>
        <v xml:space="preserve"> </v>
      </c>
      <c r="BJ109" s="312">
        <v>7592</v>
      </c>
      <c r="BK109" s="286">
        <f>BE109*Wirtschaftlichkeit!$L$5/Wirtschaftlichkeit!$L$7</f>
        <v>0</v>
      </c>
      <c r="BL109" s="284">
        <f t="shared" si="82"/>
        <v>0</v>
      </c>
      <c r="BN109" s="222">
        <v>7592</v>
      </c>
      <c r="BO109" s="225" t="str">
        <f>IF($C109&gt;=Wirtschaftlichkeit!$M$8,Wirtschaftlichkeit!$M$8,IF(AND($C109&lt;=Wirtschaftlichkeit!$M$8,$C109&gt;=Wirtschaftlichkeit!$M$8*Eingabemaske!$B$18),$C109,"0"))</f>
        <v>0</v>
      </c>
      <c r="BP109" s="222">
        <v>7592</v>
      </c>
      <c r="BQ109" s="224">
        <f t="shared" si="83"/>
        <v>0</v>
      </c>
      <c r="BR109" s="222">
        <v>7592</v>
      </c>
      <c r="BS109" s="226" t="str">
        <f t="shared" si="130"/>
        <v xml:space="preserve"> </v>
      </c>
      <c r="BT109" s="312">
        <v>7592</v>
      </c>
      <c r="BU109" s="286">
        <f>BO109*Wirtschaftlichkeit!$M$5/Wirtschaftlichkeit!$M$7</f>
        <v>0</v>
      </c>
      <c r="BV109" s="284">
        <f t="shared" si="85"/>
        <v>0</v>
      </c>
      <c r="BX109" s="222">
        <v>7592</v>
      </c>
      <c r="BY109" s="225" t="str">
        <f>IF($C109&gt;=Wirtschaftlichkeit!$N$8,Wirtschaftlichkeit!$N$8,IF(AND($C109&lt;=Wirtschaftlichkeit!$N$8,$C109&gt;=Wirtschaftlichkeit!$N$8*Eingabemaske!$B$18),$C109,"0"))</f>
        <v>0</v>
      </c>
      <c r="BZ109" s="222">
        <v>7592</v>
      </c>
      <c r="CA109" s="224">
        <f t="shared" si="86"/>
        <v>0</v>
      </c>
      <c r="CB109" s="222">
        <v>7592</v>
      </c>
      <c r="CC109" s="226" t="str">
        <f t="shared" si="131"/>
        <v xml:space="preserve"> </v>
      </c>
      <c r="CD109" s="312">
        <v>7592</v>
      </c>
      <c r="CE109" s="286">
        <f>BY109*Wirtschaftlichkeit!$N$5/Wirtschaftlichkeit!$N$7</f>
        <v>0</v>
      </c>
      <c r="CF109" s="284">
        <f t="shared" si="88"/>
        <v>0</v>
      </c>
      <c r="CH109" s="222">
        <v>7592</v>
      </c>
      <c r="CI109" s="225" t="str">
        <f>IF($C109&gt;=Wirtschaftlichkeit!$O$8,Wirtschaftlichkeit!$O$8,IF(AND($C109&lt;=Wirtschaftlichkeit!$O$8,$C109&gt;=Wirtschaftlichkeit!$O$8*Eingabemaske!$B$18),$C109,"0"))</f>
        <v>0</v>
      </c>
      <c r="CJ109" s="222">
        <v>7592</v>
      </c>
      <c r="CK109" s="224">
        <f t="shared" si="89"/>
        <v>0</v>
      </c>
      <c r="CL109" s="222">
        <v>7592</v>
      </c>
      <c r="CM109" s="226" t="str">
        <f t="shared" si="132"/>
        <v xml:space="preserve"> </v>
      </c>
      <c r="CN109" s="312">
        <v>7592</v>
      </c>
      <c r="CO109" s="286">
        <f>CI109*Wirtschaftlichkeit!$O$5/Wirtschaftlichkeit!$O$7</f>
        <v>0</v>
      </c>
      <c r="CP109" s="284">
        <f t="shared" si="91"/>
        <v>0</v>
      </c>
      <c r="CR109" s="222">
        <v>7592</v>
      </c>
      <c r="CS109" s="225" t="str">
        <f>IF($C109&gt;=Wirtschaftlichkeit!$P$8,Wirtschaftlichkeit!$P$8,IF(AND($C109&lt;=Wirtschaftlichkeit!$P$8,$C109&gt;=Wirtschaftlichkeit!$P$8*Eingabemaske!$B$18),$C109,"0"))</f>
        <v>0</v>
      </c>
      <c r="CT109" s="222">
        <v>7592</v>
      </c>
      <c r="CU109" s="224">
        <f t="shared" si="92"/>
        <v>0</v>
      </c>
      <c r="CV109" s="222">
        <v>7592</v>
      </c>
      <c r="CW109" s="226" t="str">
        <f t="shared" si="133"/>
        <v xml:space="preserve"> </v>
      </c>
      <c r="CX109" s="312">
        <v>7592</v>
      </c>
      <c r="CY109" s="286">
        <f>CS109*Wirtschaftlichkeit!$P$5/Wirtschaftlichkeit!$P$7</f>
        <v>0</v>
      </c>
      <c r="CZ109" s="284">
        <f t="shared" si="94"/>
        <v>0</v>
      </c>
      <c r="DB109" s="222">
        <v>7592</v>
      </c>
      <c r="DC109" s="225" t="str">
        <f>IF($C109&gt;=Wirtschaftlichkeit!$Q$8,Wirtschaftlichkeit!$Q$8,IF(AND($C109&lt;=Wirtschaftlichkeit!$Q$8,$C109&gt;=Wirtschaftlichkeit!$Q$8*Eingabemaske!$B$18),$C109,"0"))</f>
        <v>0</v>
      </c>
      <c r="DD109" s="222">
        <v>7592</v>
      </c>
      <c r="DE109" s="224">
        <f t="shared" si="95"/>
        <v>0</v>
      </c>
      <c r="DF109" s="222">
        <v>7592</v>
      </c>
      <c r="DG109" s="226" t="str">
        <f t="shared" si="134"/>
        <v xml:space="preserve"> </v>
      </c>
      <c r="DH109" s="312">
        <v>7592</v>
      </c>
      <c r="DI109" s="286">
        <f>DC109*Wirtschaftlichkeit!$Q$5/Wirtschaftlichkeit!$Q$7</f>
        <v>0</v>
      </c>
      <c r="DJ109" s="284">
        <f t="shared" si="97"/>
        <v>0</v>
      </c>
      <c r="DL109" s="222">
        <v>7592</v>
      </c>
      <c r="DM109" s="225" t="str">
        <f>IF($C109&gt;=Wirtschaftlichkeit!$R$8,Wirtschaftlichkeit!$R$8,IF(AND($C109&lt;=Wirtschaftlichkeit!$R$8,$C109&gt;=Wirtschaftlichkeit!$R$8*Eingabemaske!$B$18),$C109,"0"))</f>
        <v>0</v>
      </c>
      <c r="DN109" s="222">
        <v>7592</v>
      </c>
      <c r="DO109" s="224">
        <f t="shared" si="98"/>
        <v>0</v>
      </c>
      <c r="DP109" s="222">
        <v>7592</v>
      </c>
      <c r="DQ109" s="226" t="str">
        <f t="shared" si="135"/>
        <v xml:space="preserve"> </v>
      </c>
      <c r="DR109" s="312">
        <v>7592</v>
      </c>
      <c r="DS109" s="286">
        <f>DM109*Wirtschaftlichkeit!$R$5/Wirtschaftlichkeit!$R$7</f>
        <v>0</v>
      </c>
      <c r="DT109" s="284">
        <f t="shared" si="100"/>
        <v>0</v>
      </c>
      <c r="DV109" s="222">
        <v>7592</v>
      </c>
      <c r="DW109" s="225" t="str">
        <f>IF($C109&gt;=Wirtschaftlichkeit!$S$8,Wirtschaftlichkeit!$S$8,IF(AND($C109&lt;=Wirtschaftlichkeit!$S$8,$C109&gt;=Wirtschaftlichkeit!$S$8*Eingabemaske!$B$18),$C109,"0"))</f>
        <v>0</v>
      </c>
      <c r="DX109" s="222">
        <v>7592</v>
      </c>
      <c r="DY109" s="224">
        <f t="shared" si="101"/>
        <v>0</v>
      </c>
      <c r="DZ109" s="222">
        <v>7592</v>
      </c>
      <c r="EA109" s="226" t="str">
        <f t="shared" si="136"/>
        <v xml:space="preserve"> </v>
      </c>
      <c r="EB109" s="312">
        <v>7592</v>
      </c>
      <c r="EC109" s="286">
        <f>DW109*Wirtschaftlichkeit!$S$5/Wirtschaftlichkeit!$S$7</f>
        <v>0</v>
      </c>
      <c r="ED109" s="284">
        <f t="shared" si="103"/>
        <v>0</v>
      </c>
      <c r="EF109" s="222">
        <v>7592</v>
      </c>
      <c r="EG109" s="225" t="str">
        <f>IF($C109&gt;=Wirtschaftlichkeit!$T$8,Wirtschaftlichkeit!$T$8,IF(AND($C109&lt;=Wirtschaftlichkeit!$T$8,$C109&gt;=Wirtschaftlichkeit!$T$8*Eingabemaske!$B$18),$C109,"0"))</f>
        <v>0</v>
      </c>
      <c r="EH109" s="222">
        <v>7592</v>
      </c>
      <c r="EI109" s="224">
        <f t="shared" si="104"/>
        <v>0</v>
      </c>
      <c r="EJ109" s="222">
        <v>7592</v>
      </c>
      <c r="EK109" s="226" t="str">
        <f t="shared" si="137"/>
        <v xml:space="preserve"> </v>
      </c>
      <c r="EL109" s="312">
        <v>7592</v>
      </c>
      <c r="EM109" s="286">
        <f>EG109*Wirtschaftlichkeit!$T$5/Wirtschaftlichkeit!$T$7</f>
        <v>0</v>
      </c>
      <c r="EN109" s="284">
        <f t="shared" si="106"/>
        <v>0</v>
      </c>
      <c r="EP109" s="222">
        <v>7592</v>
      </c>
      <c r="EQ109" s="225" t="str">
        <f>IF($C109&gt;=Wirtschaftlichkeit!$U$8,Wirtschaftlichkeit!$U$8,IF(AND($C109&lt;=Wirtschaftlichkeit!$U$8,$C109&gt;=Wirtschaftlichkeit!$U$8*Eingabemaske!$B$18),$C109,"0"))</f>
        <v>0</v>
      </c>
      <c r="ER109" s="222">
        <v>7592</v>
      </c>
      <c r="ES109" s="224">
        <f t="shared" si="107"/>
        <v>0</v>
      </c>
      <c r="ET109" s="222">
        <v>7592</v>
      </c>
      <c r="EU109" s="226" t="str">
        <f t="shared" si="138"/>
        <v xml:space="preserve"> </v>
      </c>
      <c r="EV109" s="312">
        <v>7592</v>
      </c>
      <c r="EW109" s="286">
        <f>EQ109*Wirtschaftlichkeit!$U$5/Wirtschaftlichkeit!$U$7</f>
        <v>0</v>
      </c>
      <c r="EX109" s="284">
        <f t="shared" si="109"/>
        <v>0</v>
      </c>
      <c r="EZ109" s="222">
        <v>7592</v>
      </c>
      <c r="FA109" s="225" t="str">
        <f>IF($C109&gt;=Wirtschaftlichkeit!$V$8,Wirtschaftlichkeit!$V$8,IF(AND($C109&lt;=Wirtschaftlichkeit!$V$8,$C109&gt;=Wirtschaftlichkeit!$V$8*Eingabemaske!$B$18),$C109,"0"))</f>
        <v>0</v>
      </c>
      <c r="FB109" s="222">
        <v>7592</v>
      </c>
      <c r="FC109" s="224">
        <f t="shared" si="110"/>
        <v>0</v>
      </c>
      <c r="FD109" s="222">
        <v>7592</v>
      </c>
      <c r="FE109" s="226" t="str">
        <f t="shared" si="139"/>
        <v xml:space="preserve"> </v>
      </c>
      <c r="FF109" s="312">
        <v>7592</v>
      </c>
      <c r="FG109" s="286">
        <f>FA109*Wirtschaftlichkeit!$V$5/Wirtschaftlichkeit!$V$7</f>
        <v>0</v>
      </c>
      <c r="FH109" s="284">
        <f t="shared" si="112"/>
        <v>0</v>
      </c>
      <c r="FJ109" s="222">
        <v>7592</v>
      </c>
      <c r="FK109" s="225" t="str">
        <f>IF($C109&gt;=Wirtschaftlichkeit!$W$8,Wirtschaftlichkeit!$W$8,IF(AND($C109&lt;=Wirtschaftlichkeit!$W$8,$C109&gt;=Wirtschaftlichkeit!$W$8*Eingabemaske!$B$18),$C109,"0"))</f>
        <v>0</v>
      </c>
      <c r="FL109" s="222">
        <v>7592</v>
      </c>
      <c r="FM109" s="224">
        <f t="shared" si="113"/>
        <v>0</v>
      </c>
      <c r="FN109" s="222">
        <v>7592</v>
      </c>
      <c r="FO109" s="226" t="str">
        <f t="shared" si="140"/>
        <v xml:space="preserve"> </v>
      </c>
      <c r="FP109" s="312">
        <v>7592</v>
      </c>
      <c r="FQ109" s="286">
        <f>FK109*Wirtschaftlichkeit!$W$5/Wirtschaftlichkeit!$W$7</f>
        <v>0</v>
      </c>
      <c r="FR109" s="284">
        <f t="shared" si="115"/>
        <v>0</v>
      </c>
      <c r="FT109" s="222">
        <v>7592</v>
      </c>
      <c r="FU109" s="225" t="str">
        <f>IF($C109&gt;=Wirtschaftlichkeit!$X$8,Wirtschaftlichkeit!$X$8,IF(AND($C109&lt;=Wirtschaftlichkeit!$X$8,$C109&gt;=Wirtschaftlichkeit!$X$8*Eingabemaske!$B$18),$C109,"0"))</f>
        <v>0</v>
      </c>
      <c r="FV109" s="222">
        <v>7592</v>
      </c>
      <c r="FW109" s="224">
        <f t="shared" si="116"/>
        <v>0</v>
      </c>
      <c r="FX109" s="222">
        <v>7592</v>
      </c>
      <c r="FY109" s="226" t="str">
        <f t="shared" si="141"/>
        <v xml:space="preserve"> </v>
      </c>
      <c r="FZ109" s="312">
        <v>7592</v>
      </c>
      <c r="GA109" s="286">
        <f>FU109*Wirtschaftlichkeit!$X$5/Wirtschaftlichkeit!$X$7</f>
        <v>0</v>
      </c>
      <c r="GB109" s="284">
        <f t="shared" si="118"/>
        <v>0</v>
      </c>
      <c r="GD109" s="222">
        <v>7592</v>
      </c>
      <c r="GE109" s="225" t="str">
        <f>IF($C109&gt;=Wirtschaftlichkeit!$Y$8,Wirtschaftlichkeit!$Y$8,IF(AND($C109&lt;=Wirtschaftlichkeit!$Y$8,$C109&gt;=Wirtschaftlichkeit!$Y$8*Eingabemaske!$B$18),$C109,"0"))</f>
        <v>0</v>
      </c>
      <c r="GF109" s="222">
        <v>7592</v>
      </c>
      <c r="GG109" s="224">
        <f t="shared" si="119"/>
        <v>0</v>
      </c>
      <c r="GH109" s="222">
        <v>7592</v>
      </c>
      <c r="GI109" s="226" t="str">
        <f t="shared" si="142"/>
        <v xml:space="preserve"> </v>
      </c>
      <c r="GJ109" s="312">
        <v>7592</v>
      </c>
      <c r="GK109" s="286">
        <f>GE109*Wirtschaftlichkeit!$Y$5/Wirtschaftlichkeit!$Y$7</f>
        <v>0</v>
      </c>
      <c r="GL109" s="284">
        <f t="shared" si="121"/>
        <v>0</v>
      </c>
      <c r="GN109" s="222">
        <v>7592</v>
      </c>
      <c r="GO109" s="225" t="str">
        <f>IF($C109&gt;=Wirtschaftlichkeit!$Z$8,Wirtschaftlichkeit!$Z$8,IF(AND($C109&lt;=Wirtschaftlichkeit!$Z$8,$C109&gt;=Wirtschaftlichkeit!$Z$8*Eingabemaske!$B$18),$C109,"0"))</f>
        <v>0</v>
      </c>
      <c r="GP109" s="222">
        <v>7592</v>
      </c>
      <c r="GQ109" s="224">
        <f t="shared" si="122"/>
        <v>0</v>
      </c>
      <c r="GR109" s="222">
        <v>7592</v>
      </c>
      <c r="GS109" s="226" t="str">
        <f t="shared" si="143"/>
        <v xml:space="preserve"> </v>
      </c>
      <c r="GT109" s="312">
        <v>7592</v>
      </c>
      <c r="GU109" s="286">
        <f>GO109*Wirtschaftlichkeit!$Z$5/Wirtschaftlichkeit!$Z$7</f>
        <v>0</v>
      </c>
      <c r="GV109" s="284">
        <f t="shared" si="124"/>
        <v>0</v>
      </c>
      <c r="GW109" s="266"/>
      <c r="GX109" s="258">
        <v>7592</v>
      </c>
      <c r="GY109" s="270" t="str">
        <f>IF(Berechnung_Diagramme!$C$28=Berechnungen_Lastgang!$F$2,Berechnungen_Lastgang!G109,IF(Berechnung_Diagramme!$C$28=Berechnungen_Lastgang!$P$2,Berechnungen_Lastgang!Q109,IF(Berechnung_Diagramme!$C$28=Berechnungen_Lastgang!$Z$2,Berechnungen_Lastgang!AA109,IF(Berechnung_Diagramme!$C$28=Berechnungen_Lastgang!$AJ$2,Berechnungen_Lastgang!AK109,IF(Berechnung_Diagramme!$C$28=Berechnungen_Lastgang!$AT$2,Berechnungen_Lastgang!AU109,IF(Berechnung_Diagramme!$C$28=Berechnungen_Lastgang!$BD$2,Berechnungen_Lastgang!BE109,IF(Berechnung_Diagramme!$C$28=Berechnungen_Lastgang!$BN$2,Berechnungen_Lastgang!BO109,IF(Berechnung_Diagramme!$C$28=Berechnungen_Lastgang!$BX$2,Berechnungen_Lastgang!BY109,IF(Berechnung_Diagramme!$C$28=Berechnungen_Lastgang!$CH$2,Berechnungen_Lastgang!CI109,IF(Berechnung_Diagramme!$C$28=Berechnungen_Lastgang!$CR$2,Berechnungen_Lastgang!CS109,IF(Berechnung_Diagramme!$C$28=Berechnungen_Lastgang!$DB$2,Berechnungen_Lastgang!DC109,IF(Berechnung_Diagramme!$C$28=Berechnungen_Lastgang!$DL$2,Berechnungen_Lastgang!DM109,IF(Berechnung_Diagramme!$C$28=Berechnungen_Lastgang!$DV$2,Berechnungen_Lastgang!DW109,IF(Berechnung_Diagramme!$C$28=Berechnungen_Lastgang!$EF$2,Berechnungen_Lastgang!EG109,IF(Berechnung_Diagramme!$C$28=Berechnungen_Lastgang!$EP$2,Berechnungen_Lastgang!EQ109,IF(Berechnung_Diagramme!$C$28=Berechnungen_Lastgang!$EZ$2,Berechnungen_Lastgang!FA109,IF(Berechnung_Diagramme!$C$28=Berechnungen_Lastgang!$FJ$2,Berechnungen_Lastgang!FK109,IF(Berechnung_Diagramme!$C$28=Berechnungen_Lastgang!$FT$2,Berechnungen_Lastgang!FU109,IF(Berechnung_Diagramme!$C$28=Berechnungen_Lastgang!$GD$2,Berechnungen_Lastgang!GE109,IF(Berechnung_Diagramme!$C$28=Berechnungen_Lastgang!$GN$2,Berechnungen_Lastgang!GO109,""))))))))))))))))))))</f>
        <v>0</v>
      </c>
    </row>
    <row r="110" spans="2:207" x14ac:dyDescent="0.25">
      <c r="B110" s="64">
        <v>7665</v>
      </c>
      <c r="C110" s="67">
        <f>(C105+C115)/2</f>
        <v>2.34945</v>
      </c>
      <c r="D110" s="66">
        <f t="shared" si="144"/>
        <v>169.469865</v>
      </c>
      <c r="F110" s="64">
        <v>7665</v>
      </c>
      <c r="G110" s="225">
        <f>IF($C110&gt;=Wirtschaftlichkeit!$G$8,Wirtschaftlichkeit!$G$8,IF(AND($C110&lt;=Wirtschaftlichkeit!$G$8,$C110&gt;=Wirtschaftlichkeit!$G$8*Eingabemaske!$B$18),$C110,"0"))</f>
        <v>2.34945</v>
      </c>
      <c r="H110" s="64">
        <v>7665</v>
      </c>
      <c r="I110" s="66">
        <f t="shared" si="145"/>
        <v>169.469865</v>
      </c>
      <c r="J110" s="64">
        <v>7665</v>
      </c>
      <c r="K110" s="71">
        <f t="shared" si="146"/>
        <v>2.34945</v>
      </c>
      <c r="L110" s="312">
        <v>7665</v>
      </c>
      <c r="M110" s="286">
        <f>G110*Wirtschaftlichkeit!$G$5/Wirtschaftlichkeit!$G$7</f>
        <v>0.8292176470588235</v>
      </c>
      <c r="N110" s="284">
        <f t="shared" si="67"/>
        <v>59.812893529411753</v>
      </c>
      <c r="P110" s="222">
        <v>7665</v>
      </c>
      <c r="Q110" s="225" t="str">
        <f>IF($C110&gt;=Wirtschaftlichkeit!$H$8,Wirtschaftlichkeit!$H$8,IF(AND($C110&lt;=Wirtschaftlichkeit!$H$8,$C110&gt;=Wirtschaftlichkeit!$H$8*Eingabemaske!$B$18),$C110,"0"))</f>
        <v>0</v>
      </c>
      <c r="R110" s="222">
        <v>7665</v>
      </c>
      <c r="S110" s="224">
        <f t="shared" si="68"/>
        <v>0</v>
      </c>
      <c r="T110" s="222">
        <v>7665</v>
      </c>
      <c r="U110" s="226" t="str">
        <f t="shared" si="125"/>
        <v xml:space="preserve"> </v>
      </c>
      <c r="V110" s="312">
        <v>7665</v>
      </c>
      <c r="W110" s="286">
        <f>Q110*Wirtschaftlichkeit!$H$5/Wirtschaftlichkeit!$H$7</f>
        <v>0</v>
      </c>
      <c r="X110" s="284">
        <f t="shared" si="70"/>
        <v>0</v>
      </c>
      <c r="Z110" s="222">
        <v>7665</v>
      </c>
      <c r="AA110" s="225" t="str">
        <f>IF($C110&gt;=Wirtschaftlichkeit!$I$8,Wirtschaftlichkeit!$I$8,IF(AND($C110&lt;=Wirtschaftlichkeit!$I$8,$C110&gt;=Wirtschaftlichkeit!$I$8*Eingabemaske!$B$18),$C110,"0"))</f>
        <v>0</v>
      </c>
      <c r="AB110" s="222">
        <v>7665</v>
      </c>
      <c r="AC110" s="224">
        <f t="shared" si="71"/>
        <v>0</v>
      </c>
      <c r="AD110" s="222">
        <v>7665</v>
      </c>
      <c r="AE110" s="226" t="str">
        <f t="shared" si="126"/>
        <v xml:space="preserve"> </v>
      </c>
      <c r="AF110" s="312">
        <v>7665</v>
      </c>
      <c r="AG110" s="286">
        <f>AA110*Wirtschaftlichkeit!$I$5/Wirtschaftlichkeit!$I$7</f>
        <v>0</v>
      </c>
      <c r="AH110" s="284">
        <f t="shared" si="73"/>
        <v>0</v>
      </c>
      <c r="AJ110" s="222">
        <v>7665</v>
      </c>
      <c r="AK110" s="225" t="str">
        <f>IF($C110&gt;=Wirtschaftlichkeit!$J$8,Wirtschaftlichkeit!$J$8,IF(AND($C110&lt;=Wirtschaftlichkeit!$J$8,$C110&gt;=Wirtschaftlichkeit!$J$8*Eingabemaske!$B$18),$C110,"0"))</f>
        <v>0</v>
      </c>
      <c r="AL110" s="222">
        <v>7665</v>
      </c>
      <c r="AM110" s="224">
        <f t="shared" si="74"/>
        <v>0</v>
      </c>
      <c r="AN110" s="222">
        <v>7665</v>
      </c>
      <c r="AO110" s="226" t="str">
        <f t="shared" si="127"/>
        <v xml:space="preserve"> </v>
      </c>
      <c r="AP110" s="312">
        <v>7665</v>
      </c>
      <c r="AQ110" s="286">
        <f>AK110*Wirtschaftlichkeit!$J$5/Wirtschaftlichkeit!$J$7</f>
        <v>0</v>
      </c>
      <c r="AR110" s="284">
        <f t="shared" si="76"/>
        <v>0</v>
      </c>
      <c r="AT110" s="222">
        <v>7665</v>
      </c>
      <c r="AU110" s="225" t="str">
        <f>IF($C110&gt;=Wirtschaftlichkeit!$K$8,Wirtschaftlichkeit!$K$8,IF(AND($C110&lt;=Wirtschaftlichkeit!$K$8,$C110&gt;=Wirtschaftlichkeit!$K$8*Eingabemaske!$B$18),$C110,"0"))</f>
        <v>0</v>
      </c>
      <c r="AV110" s="222">
        <v>7665</v>
      </c>
      <c r="AW110" s="224">
        <f t="shared" si="77"/>
        <v>0</v>
      </c>
      <c r="AX110" s="222">
        <v>7665</v>
      </c>
      <c r="AY110" s="226" t="str">
        <f t="shared" si="128"/>
        <v xml:space="preserve"> </v>
      </c>
      <c r="AZ110" s="312">
        <v>7665</v>
      </c>
      <c r="BA110" s="286">
        <f>AU110*Wirtschaftlichkeit!$K$5/Wirtschaftlichkeit!$K$7</f>
        <v>0</v>
      </c>
      <c r="BB110" s="284">
        <f t="shared" si="79"/>
        <v>0</v>
      </c>
      <c r="BD110" s="222">
        <v>7665</v>
      </c>
      <c r="BE110" s="225" t="str">
        <f>IF($C110&gt;=Wirtschaftlichkeit!$L$8,Wirtschaftlichkeit!$L$8,IF(AND($C110&lt;=Wirtschaftlichkeit!$L$8,$C110&gt;=Wirtschaftlichkeit!$L$8*Eingabemaske!$B$18),$C110,"0"))</f>
        <v>0</v>
      </c>
      <c r="BF110" s="222">
        <v>7665</v>
      </c>
      <c r="BG110" s="224">
        <f t="shared" si="80"/>
        <v>0</v>
      </c>
      <c r="BH110" s="222">
        <v>7665</v>
      </c>
      <c r="BI110" s="226" t="str">
        <f t="shared" si="129"/>
        <v xml:space="preserve"> </v>
      </c>
      <c r="BJ110" s="312">
        <v>7665</v>
      </c>
      <c r="BK110" s="286">
        <f>BE110*Wirtschaftlichkeit!$L$5/Wirtschaftlichkeit!$L$7</f>
        <v>0</v>
      </c>
      <c r="BL110" s="284">
        <f t="shared" si="82"/>
        <v>0</v>
      </c>
      <c r="BN110" s="222">
        <v>7665</v>
      </c>
      <c r="BO110" s="225" t="str">
        <f>IF($C110&gt;=Wirtschaftlichkeit!$M$8,Wirtschaftlichkeit!$M$8,IF(AND($C110&lt;=Wirtschaftlichkeit!$M$8,$C110&gt;=Wirtschaftlichkeit!$M$8*Eingabemaske!$B$18),$C110,"0"))</f>
        <v>0</v>
      </c>
      <c r="BP110" s="222">
        <v>7665</v>
      </c>
      <c r="BQ110" s="224">
        <f t="shared" si="83"/>
        <v>0</v>
      </c>
      <c r="BR110" s="222">
        <v>7665</v>
      </c>
      <c r="BS110" s="226" t="str">
        <f t="shared" si="130"/>
        <v xml:space="preserve"> </v>
      </c>
      <c r="BT110" s="312">
        <v>7665</v>
      </c>
      <c r="BU110" s="286">
        <f>BO110*Wirtschaftlichkeit!$M$5/Wirtschaftlichkeit!$M$7</f>
        <v>0</v>
      </c>
      <c r="BV110" s="284">
        <f t="shared" si="85"/>
        <v>0</v>
      </c>
      <c r="BX110" s="222">
        <v>7665</v>
      </c>
      <c r="BY110" s="225" t="str">
        <f>IF($C110&gt;=Wirtschaftlichkeit!$N$8,Wirtschaftlichkeit!$N$8,IF(AND($C110&lt;=Wirtschaftlichkeit!$N$8,$C110&gt;=Wirtschaftlichkeit!$N$8*Eingabemaske!$B$18),$C110,"0"))</f>
        <v>0</v>
      </c>
      <c r="BZ110" s="222">
        <v>7665</v>
      </c>
      <c r="CA110" s="224">
        <f t="shared" si="86"/>
        <v>0</v>
      </c>
      <c r="CB110" s="222">
        <v>7665</v>
      </c>
      <c r="CC110" s="226" t="str">
        <f t="shared" si="131"/>
        <v xml:space="preserve"> </v>
      </c>
      <c r="CD110" s="312">
        <v>7665</v>
      </c>
      <c r="CE110" s="286">
        <f>BY110*Wirtschaftlichkeit!$N$5/Wirtschaftlichkeit!$N$7</f>
        <v>0</v>
      </c>
      <c r="CF110" s="284">
        <f t="shared" si="88"/>
        <v>0</v>
      </c>
      <c r="CH110" s="222">
        <v>7665</v>
      </c>
      <c r="CI110" s="225" t="str">
        <f>IF($C110&gt;=Wirtschaftlichkeit!$O$8,Wirtschaftlichkeit!$O$8,IF(AND($C110&lt;=Wirtschaftlichkeit!$O$8,$C110&gt;=Wirtschaftlichkeit!$O$8*Eingabemaske!$B$18),$C110,"0"))</f>
        <v>0</v>
      </c>
      <c r="CJ110" s="222">
        <v>7665</v>
      </c>
      <c r="CK110" s="224">
        <f t="shared" si="89"/>
        <v>0</v>
      </c>
      <c r="CL110" s="222">
        <v>7665</v>
      </c>
      <c r="CM110" s="226" t="str">
        <f t="shared" si="132"/>
        <v xml:space="preserve"> </v>
      </c>
      <c r="CN110" s="312">
        <v>7665</v>
      </c>
      <c r="CO110" s="286">
        <f>CI110*Wirtschaftlichkeit!$O$5/Wirtschaftlichkeit!$O$7</f>
        <v>0</v>
      </c>
      <c r="CP110" s="284">
        <f t="shared" si="91"/>
        <v>0</v>
      </c>
      <c r="CR110" s="222">
        <v>7665</v>
      </c>
      <c r="CS110" s="225" t="str">
        <f>IF($C110&gt;=Wirtschaftlichkeit!$P$8,Wirtschaftlichkeit!$P$8,IF(AND($C110&lt;=Wirtschaftlichkeit!$P$8,$C110&gt;=Wirtschaftlichkeit!$P$8*Eingabemaske!$B$18),$C110,"0"))</f>
        <v>0</v>
      </c>
      <c r="CT110" s="222">
        <v>7665</v>
      </c>
      <c r="CU110" s="224">
        <f t="shared" si="92"/>
        <v>0</v>
      </c>
      <c r="CV110" s="222">
        <v>7665</v>
      </c>
      <c r="CW110" s="226" t="str">
        <f t="shared" si="133"/>
        <v xml:space="preserve"> </v>
      </c>
      <c r="CX110" s="312">
        <v>7665</v>
      </c>
      <c r="CY110" s="286">
        <f>CS110*Wirtschaftlichkeit!$P$5/Wirtschaftlichkeit!$P$7</f>
        <v>0</v>
      </c>
      <c r="CZ110" s="284">
        <f t="shared" si="94"/>
        <v>0</v>
      </c>
      <c r="DB110" s="222">
        <v>7665</v>
      </c>
      <c r="DC110" s="225" t="str">
        <f>IF($C110&gt;=Wirtschaftlichkeit!$Q$8,Wirtschaftlichkeit!$Q$8,IF(AND($C110&lt;=Wirtschaftlichkeit!$Q$8,$C110&gt;=Wirtschaftlichkeit!$Q$8*Eingabemaske!$B$18),$C110,"0"))</f>
        <v>0</v>
      </c>
      <c r="DD110" s="222">
        <v>7665</v>
      </c>
      <c r="DE110" s="224">
        <f t="shared" si="95"/>
        <v>0</v>
      </c>
      <c r="DF110" s="222">
        <v>7665</v>
      </c>
      <c r="DG110" s="226" t="str">
        <f t="shared" si="134"/>
        <v xml:space="preserve"> </v>
      </c>
      <c r="DH110" s="312">
        <v>7665</v>
      </c>
      <c r="DI110" s="286">
        <f>DC110*Wirtschaftlichkeit!$Q$5/Wirtschaftlichkeit!$Q$7</f>
        <v>0</v>
      </c>
      <c r="DJ110" s="284">
        <f t="shared" si="97"/>
        <v>0</v>
      </c>
      <c r="DL110" s="222">
        <v>7665</v>
      </c>
      <c r="DM110" s="225" t="str">
        <f>IF($C110&gt;=Wirtschaftlichkeit!$R$8,Wirtschaftlichkeit!$R$8,IF(AND($C110&lt;=Wirtschaftlichkeit!$R$8,$C110&gt;=Wirtschaftlichkeit!$R$8*Eingabemaske!$B$18),$C110,"0"))</f>
        <v>0</v>
      </c>
      <c r="DN110" s="222">
        <v>7665</v>
      </c>
      <c r="DO110" s="224">
        <f t="shared" si="98"/>
        <v>0</v>
      </c>
      <c r="DP110" s="222">
        <v>7665</v>
      </c>
      <c r="DQ110" s="226" t="str">
        <f t="shared" si="135"/>
        <v xml:space="preserve"> </v>
      </c>
      <c r="DR110" s="312">
        <v>7665</v>
      </c>
      <c r="DS110" s="286">
        <f>DM110*Wirtschaftlichkeit!$R$5/Wirtschaftlichkeit!$R$7</f>
        <v>0</v>
      </c>
      <c r="DT110" s="284">
        <f t="shared" si="100"/>
        <v>0</v>
      </c>
      <c r="DV110" s="222">
        <v>7665</v>
      </c>
      <c r="DW110" s="225" t="str">
        <f>IF($C110&gt;=Wirtschaftlichkeit!$S$8,Wirtschaftlichkeit!$S$8,IF(AND($C110&lt;=Wirtschaftlichkeit!$S$8,$C110&gt;=Wirtschaftlichkeit!$S$8*Eingabemaske!$B$18),$C110,"0"))</f>
        <v>0</v>
      </c>
      <c r="DX110" s="222">
        <v>7665</v>
      </c>
      <c r="DY110" s="224">
        <f t="shared" si="101"/>
        <v>0</v>
      </c>
      <c r="DZ110" s="222">
        <v>7665</v>
      </c>
      <c r="EA110" s="226" t="str">
        <f t="shared" si="136"/>
        <v xml:space="preserve"> </v>
      </c>
      <c r="EB110" s="312">
        <v>7665</v>
      </c>
      <c r="EC110" s="286">
        <f>DW110*Wirtschaftlichkeit!$S$5/Wirtschaftlichkeit!$S$7</f>
        <v>0</v>
      </c>
      <c r="ED110" s="284">
        <f t="shared" si="103"/>
        <v>0</v>
      </c>
      <c r="EF110" s="222">
        <v>7665</v>
      </c>
      <c r="EG110" s="225" t="str">
        <f>IF($C110&gt;=Wirtschaftlichkeit!$T$8,Wirtschaftlichkeit!$T$8,IF(AND($C110&lt;=Wirtschaftlichkeit!$T$8,$C110&gt;=Wirtschaftlichkeit!$T$8*Eingabemaske!$B$18),$C110,"0"))</f>
        <v>0</v>
      </c>
      <c r="EH110" s="222">
        <v>7665</v>
      </c>
      <c r="EI110" s="224">
        <f t="shared" si="104"/>
        <v>0</v>
      </c>
      <c r="EJ110" s="222">
        <v>7665</v>
      </c>
      <c r="EK110" s="226" t="str">
        <f t="shared" si="137"/>
        <v xml:space="preserve"> </v>
      </c>
      <c r="EL110" s="312">
        <v>7665</v>
      </c>
      <c r="EM110" s="286">
        <f>EG110*Wirtschaftlichkeit!$T$5/Wirtschaftlichkeit!$T$7</f>
        <v>0</v>
      </c>
      <c r="EN110" s="284">
        <f t="shared" si="106"/>
        <v>0</v>
      </c>
      <c r="EP110" s="222">
        <v>7665</v>
      </c>
      <c r="EQ110" s="225" t="str">
        <f>IF($C110&gt;=Wirtschaftlichkeit!$U$8,Wirtschaftlichkeit!$U$8,IF(AND($C110&lt;=Wirtschaftlichkeit!$U$8,$C110&gt;=Wirtschaftlichkeit!$U$8*Eingabemaske!$B$18),$C110,"0"))</f>
        <v>0</v>
      </c>
      <c r="ER110" s="222">
        <v>7665</v>
      </c>
      <c r="ES110" s="224">
        <f t="shared" si="107"/>
        <v>0</v>
      </c>
      <c r="ET110" s="222">
        <v>7665</v>
      </c>
      <c r="EU110" s="226" t="str">
        <f t="shared" si="138"/>
        <v xml:space="preserve"> </v>
      </c>
      <c r="EV110" s="312">
        <v>7665</v>
      </c>
      <c r="EW110" s="286">
        <f>EQ110*Wirtschaftlichkeit!$U$5/Wirtschaftlichkeit!$U$7</f>
        <v>0</v>
      </c>
      <c r="EX110" s="284">
        <f t="shared" si="109"/>
        <v>0</v>
      </c>
      <c r="EZ110" s="222">
        <v>7665</v>
      </c>
      <c r="FA110" s="225" t="str">
        <f>IF($C110&gt;=Wirtschaftlichkeit!$V$8,Wirtschaftlichkeit!$V$8,IF(AND($C110&lt;=Wirtschaftlichkeit!$V$8,$C110&gt;=Wirtschaftlichkeit!$V$8*Eingabemaske!$B$18),$C110,"0"))</f>
        <v>0</v>
      </c>
      <c r="FB110" s="222">
        <v>7665</v>
      </c>
      <c r="FC110" s="224">
        <f t="shared" si="110"/>
        <v>0</v>
      </c>
      <c r="FD110" s="222">
        <v>7665</v>
      </c>
      <c r="FE110" s="226" t="str">
        <f t="shared" si="139"/>
        <v xml:space="preserve"> </v>
      </c>
      <c r="FF110" s="312">
        <v>7665</v>
      </c>
      <c r="FG110" s="286">
        <f>FA110*Wirtschaftlichkeit!$V$5/Wirtschaftlichkeit!$V$7</f>
        <v>0</v>
      </c>
      <c r="FH110" s="284">
        <f t="shared" si="112"/>
        <v>0</v>
      </c>
      <c r="FJ110" s="222">
        <v>7665</v>
      </c>
      <c r="FK110" s="225" t="str">
        <f>IF($C110&gt;=Wirtschaftlichkeit!$W$8,Wirtschaftlichkeit!$W$8,IF(AND($C110&lt;=Wirtschaftlichkeit!$W$8,$C110&gt;=Wirtschaftlichkeit!$W$8*Eingabemaske!$B$18),$C110,"0"))</f>
        <v>0</v>
      </c>
      <c r="FL110" s="222">
        <v>7665</v>
      </c>
      <c r="FM110" s="224">
        <f t="shared" si="113"/>
        <v>0</v>
      </c>
      <c r="FN110" s="222">
        <v>7665</v>
      </c>
      <c r="FO110" s="226" t="str">
        <f t="shared" si="140"/>
        <v xml:space="preserve"> </v>
      </c>
      <c r="FP110" s="312">
        <v>7665</v>
      </c>
      <c r="FQ110" s="286">
        <f>FK110*Wirtschaftlichkeit!$W$5/Wirtschaftlichkeit!$W$7</f>
        <v>0</v>
      </c>
      <c r="FR110" s="284">
        <f t="shared" si="115"/>
        <v>0</v>
      </c>
      <c r="FT110" s="222">
        <v>7665</v>
      </c>
      <c r="FU110" s="225" t="str">
        <f>IF($C110&gt;=Wirtschaftlichkeit!$X$8,Wirtschaftlichkeit!$X$8,IF(AND($C110&lt;=Wirtschaftlichkeit!$X$8,$C110&gt;=Wirtschaftlichkeit!$X$8*Eingabemaske!$B$18),$C110,"0"))</f>
        <v>0</v>
      </c>
      <c r="FV110" s="222">
        <v>7665</v>
      </c>
      <c r="FW110" s="224">
        <f t="shared" si="116"/>
        <v>0</v>
      </c>
      <c r="FX110" s="222">
        <v>7665</v>
      </c>
      <c r="FY110" s="226" t="str">
        <f t="shared" si="141"/>
        <v xml:space="preserve"> </v>
      </c>
      <c r="FZ110" s="312">
        <v>7665</v>
      </c>
      <c r="GA110" s="286">
        <f>FU110*Wirtschaftlichkeit!$X$5/Wirtschaftlichkeit!$X$7</f>
        <v>0</v>
      </c>
      <c r="GB110" s="284">
        <f t="shared" si="118"/>
        <v>0</v>
      </c>
      <c r="GD110" s="222">
        <v>7665</v>
      </c>
      <c r="GE110" s="225" t="str">
        <f>IF($C110&gt;=Wirtschaftlichkeit!$Y$8,Wirtschaftlichkeit!$Y$8,IF(AND($C110&lt;=Wirtschaftlichkeit!$Y$8,$C110&gt;=Wirtschaftlichkeit!$Y$8*Eingabemaske!$B$18),$C110,"0"))</f>
        <v>0</v>
      </c>
      <c r="GF110" s="222">
        <v>7665</v>
      </c>
      <c r="GG110" s="224">
        <f t="shared" si="119"/>
        <v>0</v>
      </c>
      <c r="GH110" s="222">
        <v>7665</v>
      </c>
      <c r="GI110" s="226" t="str">
        <f t="shared" si="142"/>
        <v xml:space="preserve"> </v>
      </c>
      <c r="GJ110" s="312">
        <v>7665</v>
      </c>
      <c r="GK110" s="286">
        <f>GE110*Wirtschaftlichkeit!$Y$5/Wirtschaftlichkeit!$Y$7</f>
        <v>0</v>
      </c>
      <c r="GL110" s="284">
        <f t="shared" si="121"/>
        <v>0</v>
      </c>
      <c r="GN110" s="222">
        <v>7665</v>
      </c>
      <c r="GO110" s="225" t="str">
        <f>IF($C110&gt;=Wirtschaftlichkeit!$Z$8,Wirtschaftlichkeit!$Z$8,IF(AND($C110&lt;=Wirtschaftlichkeit!$Z$8,$C110&gt;=Wirtschaftlichkeit!$Z$8*Eingabemaske!$B$18),$C110,"0"))</f>
        <v>0</v>
      </c>
      <c r="GP110" s="222">
        <v>7665</v>
      </c>
      <c r="GQ110" s="224">
        <f t="shared" si="122"/>
        <v>0</v>
      </c>
      <c r="GR110" s="222">
        <v>7665</v>
      </c>
      <c r="GS110" s="226" t="str">
        <f t="shared" si="143"/>
        <v xml:space="preserve"> </v>
      </c>
      <c r="GT110" s="312">
        <v>7665</v>
      </c>
      <c r="GU110" s="286">
        <f>GO110*Wirtschaftlichkeit!$Z$5/Wirtschaftlichkeit!$Z$7</f>
        <v>0</v>
      </c>
      <c r="GV110" s="284">
        <f t="shared" si="124"/>
        <v>0</v>
      </c>
      <c r="GW110" s="266"/>
      <c r="GX110" s="258">
        <v>7665</v>
      </c>
      <c r="GY110" s="270" t="str">
        <f>IF(Berechnung_Diagramme!$C$28=Berechnungen_Lastgang!$F$2,Berechnungen_Lastgang!G110,IF(Berechnung_Diagramme!$C$28=Berechnungen_Lastgang!$P$2,Berechnungen_Lastgang!Q110,IF(Berechnung_Diagramme!$C$28=Berechnungen_Lastgang!$Z$2,Berechnungen_Lastgang!AA110,IF(Berechnung_Diagramme!$C$28=Berechnungen_Lastgang!$AJ$2,Berechnungen_Lastgang!AK110,IF(Berechnung_Diagramme!$C$28=Berechnungen_Lastgang!$AT$2,Berechnungen_Lastgang!AU110,IF(Berechnung_Diagramme!$C$28=Berechnungen_Lastgang!$BD$2,Berechnungen_Lastgang!BE110,IF(Berechnung_Diagramme!$C$28=Berechnungen_Lastgang!$BN$2,Berechnungen_Lastgang!BO110,IF(Berechnung_Diagramme!$C$28=Berechnungen_Lastgang!$BX$2,Berechnungen_Lastgang!BY110,IF(Berechnung_Diagramme!$C$28=Berechnungen_Lastgang!$CH$2,Berechnungen_Lastgang!CI110,IF(Berechnung_Diagramme!$C$28=Berechnungen_Lastgang!$CR$2,Berechnungen_Lastgang!CS110,IF(Berechnung_Diagramme!$C$28=Berechnungen_Lastgang!$DB$2,Berechnungen_Lastgang!DC110,IF(Berechnung_Diagramme!$C$28=Berechnungen_Lastgang!$DL$2,Berechnungen_Lastgang!DM110,IF(Berechnung_Diagramme!$C$28=Berechnungen_Lastgang!$DV$2,Berechnungen_Lastgang!DW110,IF(Berechnung_Diagramme!$C$28=Berechnungen_Lastgang!$EF$2,Berechnungen_Lastgang!EG110,IF(Berechnung_Diagramme!$C$28=Berechnungen_Lastgang!$EP$2,Berechnungen_Lastgang!EQ110,IF(Berechnung_Diagramme!$C$28=Berechnungen_Lastgang!$EZ$2,Berechnungen_Lastgang!FA110,IF(Berechnung_Diagramme!$C$28=Berechnungen_Lastgang!$FJ$2,Berechnungen_Lastgang!FK110,IF(Berechnung_Diagramme!$C$28=Berechnungen_Lastgang!$FT$2,Berechnungen_Lastgang!FU110,IF(Berechnung_Diagramme!$C$28=Berechnungen_Lastgang!$GD$2,Berechnungen_Lastgang!GE110,IF(Berechnung_Diagramme!$C$28=Berechnungen_Lastgang!$GN$2,Berechnungen_Lastgang!GO110,""))))))))))))))))))))</f>
        <v>0</v>
      </c>
    </row>
    <row r="111" spans="2:207" x14ac:dyDescent="0.25">
      <c r="B111" s="64">
        <v>7738</v>
      </c>
      <c r="C111" s="67">
        <f>C110+((C115-C110)/(B115-B110))*(B111-B110)</f>
        <v>2.2935599999999998</v>
      </c>
      <c r="D111" s="66">
        <f t="shared" si="144"/>
        <v>165.38989499999997</v>
      </c>
      <c r="F111" s="64">
        <v>7738</v>
      </c>
      <c r="G111" s="225">
        <f>IF($C111&gt;=Wirtschaftlichkeit!$G$8,Wirtschaftlichkeit!$G$8,IF(AND($C111&lt;=Wirtschaftlichkeit!$G$8,$C111&gt;=Wirtschaftlichkeit!$G$8*Eingabemaske!$B$18),$C111,"0"))</f>
        <v>2.2935599999999998</v>
      </c>
      <c r="H111" s="64">
        <v>7738</v>
      </c>
      <c r="I111" s="66">
        <f t="shared" si="145"/>
        <v>165.38989499999997</v>
      </c>
      <c r="J111" s="64">
        <v>7738</v>
      </c>
      <c r="K111" s="71">
        <f t="shared" si="146"/>
        <v>2.2935599999999998</v>
      </c>
      <c r="L111" s="312">
        <v>7738</v>
      </c>
      <c r="M111" s="286">
        <f>G111*Wirtschaftlichkeit!$G$5/Wirtschaftlichkeit!$G$7</f>
        <v>0.80949176470588213</v>
      </c>
      <c r="N111" s="284">
        <f t="shared" si="67"/>
        <v>58.372904117647046</v>
      </c>
      <c r="P111" s="222">
        <v>7738</v>
      </c>
      <c r="Q111" s="225" t="str">
        <f>IF($C111&gt;=Wirtschaftlichkeit!$H$8,Wirtschaftlichkeit!$H$8,IF(AND($C111&lt;=Wirtschaftlichkeit!$H$8,$C111&gt;=Wirtschaftlichkeit!$H$8*Eingabemaske!$B$18),$C111,"0"))</f>
        <v>0</v>
      </c>
      <c r="R111" s="222">
        <v>7738</v>
      </c>
      <c r="S111" s="224">
        <f t="shared" si="68"/>
        <v>0</v>
      </c>
      <c r="T111" s="222">
        <v>7738</v>
      </c>
      <c r="U111" s="226" t="str">
        <f t="shared" si="125"/>
        <v xml:space="preserve"> </v>
      </c>
      <c r="V111" s="312">
        <v>7738</v>
      </c>
      <c r="W111" s="286">
        <f>Q111*Wirtschaftlichkeit!$H$5/Wirtschaftlichkeit!$H$7</f>
        <v>0</v>
      </c>
      <c r="X111" s="284">
        <f t="shared" si="70"/>
        <v>0</v>
      </c>
      <c r="Z111" s="222">
        <v>7738</v>
      </c>
      <c r="AA111" s="225" t="str">
        <f>IF($C111&gt;=Wirtschaftlichkeit!$I$8,Wirtschaftlichkeit!$I$8,IF(AND($C111&lt;=Wirtschaftlichkeit!$I$8,$C111&gt;=Wirtschaftlichkeit!$I$8*Eingabemaske!$B$18),$C111,"0"))</f>
        <v>0</v>
      </c>
      <c r="AB111" s="222">
        <v>7738</v>
      </c>
      <c r="AC111" s="224">
        <f t="shared" si="71"/>
        <v>0</v>
      </c>
      <c r="AD111" s="222">
        <v>7738</v>
      </c>
      <c r="AE111" s="226" t="str">
        <f t="shared" si="126"/>
        <v xml:space="preserve"> </v>
      </c>
      <c r="AF111" s="312">
        <v>7738</v>
      </c>
      <c r="AG111" s="286">
        <f>AA111*Wirtschaftlichkeit!$I$5/Wirtschaftlichkeit!$I$7</f>
        <v>0</v>
      </c>
      <c r="AH111" s="284">
        <f t="shared" si="73"/>
        <v>0</v>
      </c>
      <c r="AJ111" s="222">
        <v>7738</v>
      </c>
      <c r="AK111" s="225" t="str">
        <f>IF($C111&gt;=Wirtschaftlichkeit!$J$8,Wirtschaftlichkeit!$J$8,IF(AND($C111&lt;=Wirtschaftlichkeit!$J$8,$C111&gt;=Wirtschaftlichkeit!$J$8*Eingabemaske!$B$18),$C111,"0"))</f>
        <v>0</v>
      </c>
      <c r="AL111" s="222">
        <v>7738</v>
      </c>
      <c r="AM111" s="224">
        <f t="shared" si="74"/>
        <v>0</v>
      </c>
      <c r="AN111" s="222">
        <v>7738</v>
      </c>
      <c r="AO111" s="226" t="str">
        <f t="shared" si="127"/>
        <v xml:space="preserve"> </v>
      </c>
      <c r="AP111" s="312">
        <v>7738</v>
      </c>
      <c r="AQ111" s="286">
        <f>AK111*Wirtschaftlichkeit!$J$5/Wirtschaftlichkeit!$J$7</f>
        <v>0</v>
      </c>
      <c r="AR111" s="284">
        <f t="shared" si="76"/>
        <v>0</v>
      </c>
      <c r="AT111" s="222">
        <v>7738</v>
      </c>
      <c r="AU111" s="225" t="str">
        <f>IF($C111&gt;=Wirtschaftlichkeit!$K$8,Wirtschaftlichkeit!$K$8,IF(AND($C111&lt;=Wirtschaftlichkeit!$K$8,$C111&gt;=Wirtschaftlichkeit!$K$8*Eingabemaske!$B$18),$C111,"0"))</f>
        <v>0</v>
      </c>
      <c r="AV111" s="222">
        <v>7738</v>
      </c>
      <c r="AW111" s="224">
        <f t="shared" si="77"/>
        <v>0</v>
      </c>
      <c r="AX111" s="222">
        <v>7738</v>
      </c>
      <c r="AY111" s="226" t="str">
        <f t="shared" si="128"/>
        <v xml:space="preserve"> </v>
      </c>
      <c r="AZ111" s="312">
        <v>7738</v>
      </c>
      <c r="BA111" s="286">
        <f>AU111*Wirtschaftlichkeit!$K$5/Wirtschaftlichkeit!$K$7</f>
        <v>0</v>
      </c>
      <c r="BB111" s="284">
        <f t="shared" si="79"/>
        <v>0</v>
      </c>
      <c r="BD111" s="222">
        <v>7738</v>
      </c>
      <c r="BE111" s="225" t="str">
        <f>IF($C111&gt;=Wirtschaftlichkeit!$L$8,Wirtschaftlichkeit!$L$8,IF(AND($C111&lt;=Wirtschaftlichkeit!$L$8,$C111&gt;=Wirtschaftlichkeit!$L$8*Eingabemaske!$B$18),$C111,"0"))</f>
        <v>0</v>
      </c>
      <c r="BF111" s="222">
        <v>7738</v>
      </c>
      <c r="BG111" s="224">
        <f t="shared" si="80"/>
        <v>0</v>
      </c>
      <c r="BH111" s="222">
        <v>7738</v>
      </c>
      <c r="BI111" s="226" t="str">
        <f t="shared" si="129"/>
        <v xml:space="preserve"> </v>
      </c>
      <c r="BJ111" s="312">
        <v>7738</v>
      </c>
      <c r="BK111" s="286">
        <f>BE111*Wirtschaftlichkeit!$L$5/Wirtschaftlichkeit!$L$7</f>
        <v>0</v>
      </c>
      <c r="BL111" s="284">
        <f t="shared" si="82"/>
        <v>0</v>
      </c>
      <c r="BN111" s="222">
        <v>7738</v>
      </c>
      <c r="BO111" s="225" t="str">
        <f>IF($C111&gt;=Wirtschaftlichkeit!$M$8,Wirtschaftlichkeit!$M$8,IF(AND($C111&lt;=Wirtschaftlichkeit!$M$8,$C111&gt;=Wirtschaftlichkeit!$M$8*Eingabemaske!$B$18),$C111,"0"))</f>
        <v>0</v>
      </c>
      <c r="BP111" s="222">
        <v>7738</v>
      </c>
      <c r="BQ111" s="224">
        <f t="shared" si="83"/>
        <v>0</v>
      </c>
      <c r="BR111" s="222">
        <v>7738</v>
      </c>
      <c r="BS111" s="226" t="str">
        <f t="shared" si="130"/>
        <v xml:space="preserve"> </v>
      </c>
      <c r="BT111" s="312">
        <v>7738</v>
      </c>
      <c r="BU111" s="286">
        <f>BO111*Wirtschaftlichkeit!$M$5/Wirtschaftlichkeit!$M$7</f>
        <v>0</v>
      </c>
      <c r="BV111" s="284">
        <f t="shared" si="85"/>
        <v>0</v>
      </c>
      <c r="BX111" s="222">
        <v>7738</v>
      </c>
      <c r="BY111" s="225" t="str">
        <f>IF($C111&gt;=Wirtschaftlichkeit!$N$8,Wirtschaftlichkeit!$N$8,IF(AND($C111&lt;=Wirtschaftlichkeit!$N$8,$C111&gt;=Wirtschaftlichkeit!$N$8*Eingabemaske!$B$18),$C111,"0"))</f>
        <v>0</v>
      </c>
      <c r="BZ111" s="222">
        <v>7738</v>
      </c>
      <c r="CA111" s="224">
        <f t="shared" si="86"/>
        <v>0</v>
      </c>
      <c r="CB111" s="222">
        <v>7738</v>
      </c>
      <c r="CC111" s="226" t="str">
        <f t="shared" si="131"/>
        <v xml:space="preserve"> </v>
      </c>
      <c r="CD111" s="312">
        <v>7738</v>
      </c>
      <c r="CE111" s="286">
        <f>BY111*Wirtschaftlichkeit!$N$5/Wirtschaftlichkeit!$N$7</f>
        <v>0</v>
      </c>
      <c r="CF111" s="284">
        <f t="shared" si="88"/>
        <v>0</v>
      </c>
      <c r="CH111" s="222">
        <v>7738</v>
      </c>
      <c r="CI111" s="225" t="str">
        <f>IF($C111&gt;=Wirtschaftlichkeit!$O$8,Wirtschaftlichkeit!$O$8,IF(AND($C111&lt;=Wirtschaftlichkeit!$O$8,$C111&gt;=Wirtschaftlichkeit!$O$8*Eingabemaske!$B$18),$C111,"0"))</f>
        <v>0</v>
      </c>
      <c r="CJ111" s="222">
        <v>7738</v>
      </c>
      <c r="CK111" s="224">
        <f t="shared" si="89"/>
        <v>0</v>
      </c>
      <c r="CL111" s="222">
        <v>7738</v>
      </c>
      <c r="CM111" s="226" t="str">
        <f t="shared" si="132"/>
        <v xml:space="preserve"> </v>
      </c>
      <c r="CN111" s="312">
        <v>7738</v>
      </c>
      <c r="CO111" s="286">
        <f>CI111*Wirtschaftlichkeit!$O$5/Wirtschaftlichkeit!$O$7</f>
        <v>0</v>
      </c>
      <c r="CP111" s="284">
        <f t="shared" si="91"/>
        <v>0</v>
      </c>
      <c r="CR111" s="222">
        <v>7738</v>
      </c>
      <c r="CS111" s="225" t="str">
        <f>IF($C111&gt;=Wirtschaftlichkeit!$P$8,Wirtschaftlichkeit!$P$8,IF(AND($C111&lt;=Wirtschaftlichkeit!$P$8,$C111&gt;=Wirtschaftlichkeit!$P$8*Eingabemaske!$B$18),$C111,"0"))</f>
        <v>0</v>
      </c>
      <c r="CT111" s="222">
        <v>7738</v>
      </c>
      <c r="CU111" s="224">
        <f t="shared" si="92"/>
        <v>0</v>
      </c>
      <c r="CV111" s="222">
        <v>7738</v>
      </c>
      <c r="CW111" s="226" t="str">
        <f t="shared" si="133"/>
        <v xml:space="preserve"> </v>
      </c>
      <c r="CX111" s="312">
        <v>7738</v>
      </c>
      <c r="CY111" s="286">
        <f>CS111*Wirtschaftlichkeit!$P$5/Wirtschaftlichkeit!$P$7</f>
        <v>0</v>
      </c>
      <c r="CZ111" s="284">
        <f t="shared" si="94"/>
        <v>0</v>
      </c>
      <c r="DB111" s="222">
        <v>7738</v>
      </c>
      <c r="DC111" s="225" t="str">
        <f>IF($C111&gt;=Wirtschaftlichkeit!$Q$8,Wirtschaftlichkeit!$Q$8,IF(AND($C111&lt;=Wirtschaftlichkeit!$Q$8,$C111&gt;=Wirtschaftlichkeit!$Q$8*Eingabemaske!$B$18),$C111,"0"))</f>
        <v>0</v>
      </c>
      <c r="DD111" s="222">
        <v>7738</v>
      </c>
      <c r="DE111" s="224">
        <f t="shared" si="95"/>
        <v>0</v>
      </c>
      <c r="DF111" s="222">
        <v>7738</v>
      </c>
      <c r="DG111" s="226" t="str">
        <f t="shared" si="134"/>
        <v xml:space="preserve"> </v>
      </c>
      <c r="DH111" s="312">
        <v>7738</v>
      </c>
      <c r="DI111" s="286">
        <f>DC111*Wirtschaftlichkeit!$Q$5/Wirtschaftlichkeit!$Q$7</f>
        <v>0</v>
      </c>
      <c r="DJ111" s="284">
        <f t="shared" si="97"/>
        <v>0</v>
      </c>
      <c r="DL111" s="222">
        <v>7738</v>
      </c>
      <c r="DM111" s="225" t="str">
        <f>IF($C111&gt;=Wirtschaftlichkeit!$R$8,Wirtschaftlichkeit!$R$8,IF(AND($C111&lt;=Wirtschaftlichkeit!$R$8,$C111&gt;=Wirtschaftlichkeit!$R$8*Eingabemaske!$B$18),$C111,"0"))</f>
        <v>0</v>
      </c>
      <c r="DN111" s="222">
        <v>7738</v>
      </c>
      <c r="DO111" s="224">
        <f t="shared" si="98"/>
        <v>0</v>
      </c>
      <c r="DP111" s="222">
        <v>7738</v>
      </c>
      <c r="DQ111" s="226" t="str">
        <f t="shared" si="135"/>
        <v xml:space="preserve"> </v>
      </c>
      <c r="DR111" s="312">
        <v>7738</v>
      </c>
      <c r="DS111" s="286">
        <f>DM111*Wirtschaftlichkeit!$R$5/Wirtschaftlichkeit!$R$7</f>
        <v>0</v>
      </c>
      <c r="DT111" s="284">
        <f t="shared" si="100"/>
        <v>0</v>
      </c>
      <c r="DV111" s="222">
        <v>7738</v>
      </c>
      <c r="DW111" s="225" t="str">
        <f>IF($C111&gt;=Wirtschaftlichkeit!$S$8,Wirtschaftlichkeit!$S$8,IF(AND($C111&lt;=Wirtschaftlichkeit!$S$8,$C111&gt;=Wirtschaftlichkeit!$S$8*Eingabemaske!$B$18),$C111,"0"))</f>
        <v>0</v>
      </c>
      <c r="DX111" s="222">
        <v>7738</v>
      </c>
      <c r="DY111" s="224">
        <f t="shared" si="101"/>
        <v>0</v>
      </c>
      <c r="DZ111" s="222">
        <v>7738</v>
      </c>
      <c r="EA111" s="226" t="str">
        <f t="shared" si="136"/>
        <v xml:space="preserve"> </v>
      </c>
      <c r="EB111" s="312">
        <v>7738</v>
      </c>
      <c r="EC111" s="286">
        <f>DW111*Wirtschaftlichkeit!$S$5/Wirtschaftlichkeit!$S$7</f>
        <v>0</v>
      </c>
      <c r="ED111" s="284">
        <f t="shared" si="103"/>
        <v>0</v>
      </c>
      <c r="EF111" s="222">
        <v>7738</v>
      </c>
      <c r="EG111" s="225" t="str">
        <f>IF($C111&gt;=Wirtschaftlichkeit!$T$8,Wirtschaftlichkeit!$T$8,IF(AND($C111&lt;=Wirtschaftlichkeit!$T$8,$C111&gt;=Wirtschaftlichkeit!$T$8*Eingabemaske!$B$18),$C111,"0"))</f>
        <v>0</v>
      </c>
      <c r="EH111" s="222">
        <v>7738</v>
      </c>
      <c r="EI111" s="224">
        <f t="shared" si="104"/>
        <v>0</v>
      </c>
      <c r="EJ111" s="222">
        <v>7738</v>
      </c>
      <c r="EK111" s="226" t="str">
        <f t="shared" si="137"/>
        <v xml:space="preserve"> </v>
      </c>
      <c r="EL111" s="312">
        <v>7738</v>
      </c>
      <c r="EM111" s="286">
        <f>EG111*Wirtschaftlichkeit!$T$5/Wirtschaftlichkeit!$T$7</f>
        <v>0</v>
      </c>
      <c r="EN111" s="284">
        <f t="shared" si="106"/>
        <v>0</v>
      </c>
      <c r="EP111" s="222">
        <v>7738</v>
      </c>
      <c r="EQ111" s="225" t="str">
        <f>IF($C111&gt;=Wirtschaftlichkeit!$U$8,Wirtschaftlichkeit!$U$8,IF(AND($C111&lt;=Wirtschaftlichkeit!$U$8,$C111&gt;=Wirtschaftlichkeit!$U$8*Eingabemaske!$B$18),$C111,"0"))</f>
        <v>0</v>
      </c>
      <c r="ER111" s="222">
        <v>7738</v>
      </c>
      <c r="ES111" s="224">
        <f t="shared" si="107"/>
        <v>0</v>
      </c>
      <c r="ET111" s="222">
        <v>7738</v>
      </c>
      <c r="EU111" s="226" t="str">
        <f t="shared" si="138"/>
        <v xml:space="preserve"> </v>
      </c>
      <c r="EV111" s="312">
        <v>7738</v>
      </c>
      <c r="EW111" s="286">
        <f>EQ111*Wirtschaftlichkeit!$U$5/Wirtschaftlichkeit!$U$7</f>
        <v>0</v>
      </c>
      <c r="EX111" s="284">
        <f t="shared" si="109"/>
        <v>0</v>
      </c>
      <c r="EZ111" s="222">
        <v>7738</v>
      </c>
      <c r="FA111" s="225" t="str">
        <f>IF($C111&gt;=Wirtschaftlichkeit!$V$8,Wirtschaftlichkeit!$V$8,IF(AND($C111&lt;=Wirtschaftlichkeit!$V$8,$C111&gt;=Wirtschaftlichkeit!$V$8*Eingabemaske!$B$18),$C111,"0"))</f>
        <v>0</v>
      </c>
      <c r="FB111" s="222">
        <v>7738</v>
      </c>
      <c r="FC111" s="224">
        <f t="shared" si="110"/>
        <v>0</v>
      </c>
      <c r="FD111" s="222">
        <v>7738</v>
      </c>
      <c r="FE111" s="226" t="str">
        <f t="shared" si="139"/>
        <v xml:space="preserve"> </v>
      </c>
      <c r="FF111" s="312">
        <v>7738</v>
      </c>
      <c r="FG111" s="286">
        <f>FA111*Wirtschaftlichkeit!$V$5/Wirtschaftlichkeit!$V$7</f>
        <v>0</v>
      </c>
      <c r="FH111" s="284">
        <f t="shared" si="112"/>
        <v>0</v>
      </c>
      <c r="FJ111" s="222">
        <v>7738</v>
      </c>
      <c r="FK111" s="225" t="str">
        <f>IF($C111&gt;=Wirtschaftlichkeit!$W$8,Wirtschaftlichkeit!$W$8,IF(AND($C111&lt;=Wirtschaftlichkeit!$W$8,$C111&gt;=Wirtschaftlichkeit!$W$8*Eingabemaske!$B$18),$C111,"0"))</f>
        <v>0</v>
      </c>
      <c r="FL111" s="222">
        <v>7738</v>
      </c>
      <c r="FM111" s="224">
        <f t="shared" si="113"/>
        <v>0</v>
      </c>
      <c r="FN111" s="222">
        <v>7738</v>
      </c>
      <c r="FO111" s="226" t="str">
        <f t="shared" si="140"/>
        <v xml:space="preserve"> </v>
      </c>
      <c r="FP111" s="312">
        <v>7738</v>
      </c>
      <c r="FQ111" s="286">
        <f>FK111*Wirtschaftlichkeit!$W$5/Wirtschaftlichkeit!$W$7</f>
        <v>0</v>
      </c>
      <c r="FR111" s="284">
        <f t="shared" si="115"/>
        <v>0</v>
      </c>
      <c r="FT111" s="222">
        <v>7738</v>
      </c>
      <c r="FU111" s="225" t="str">
        <f>IF($C111&gt;=Wirtschaftlichkeit!$X$8,Wirtschaftlichkeit!$X$8,IF(AND($C111&lt;=Wirtschaftlichkeit!$X$8,$C111&gt;=Wirtschaftlichkeit!$X$8*Eingabemaske!$B$18),$C111,"0"))</f>
        <v>0</v>
      </c>
      <c r="FV111" s="222">
        <v>7738</v>
      </c>
      <c r="FW111" s="224">
        <f t="shared" si="116"/>
        <v>0</v>
      </c>
      <c r="FX111" s="222">
        <v>7738</v>
      </c>
      <c r="FY111" s="226" t="str">
        <f t="shared" si="141"/>
        <v xml:space="preserve"> </v>
      </c>
      <c r="FZ111" s="312">
        <v>7738</v>
      </c>
      <c r="GA111" s="286">
        <f>FU111*Wirtschaftlichkeit!$X$5/Wirtschaftlichkeit!$X$7</f>
        <v>0</v>
      </c>
      <c r="GB111" s="284">
        <f t="shared" si="118"/>
        <v>0</v>
      </c>
      <c r="GD111" s="222">
        <v>7738</v>
      </c>
      <c r="GE111" s="225" t="str">
        <f>IF($C111&gt;=Wirtschaftlichkeit!$Y$8,Wirtschaftlichkeit!$Y$8,IF(AND($C111&lt;=Wirtschaftlichkeit!$Y$8,$C111&gt;=Wirtschaftlichkeit!$Y$8*Eingabemaske!$B$18),$C111,"0"))</f>
        <v>0</v>
      </c>
      <c r="GF111" s="222">
        <v>7738</v>
      </c>
      <c r="GG111" s="224">
        <f t="shared" si="119"/>
        <v>0</v>
      </c>
      <c r="GH111" s="222">
        <v>7738</v>
      </c>
      <c r="GI111" s="226" t="str">
        <f t="shared" si="142"/>
        <v xml:space="preserve"> </v>
      </c>
      <c r="GJ111" s="312">
        <v>7738</v>
      </c>
      <c r="GK111" s="286">
        <f>GE111*Wirtschaftlichkeit!$Y$5/Wirtschaftlichkeit!$Y$7</f>
        <v>0</v>
      </c>
      <c r="GL111" s="284">
        <f t="shared" si="121"/>
        <v>0</v>
      </c>
      <c r="GN111" s="222">
        <v>7738</v>
      </c>
      <c r="GO111" s="225" t="str">
        <f>IF($C111&gt;=Wirtschaftlichkeit!$Z$8,Wirtschaftlichkeit!$Z$8,IF(AND($C111&lt;=Wirtschaftlichkeit!$Z$8,$C111&gt;=Wirtschaftlichkeit!$Z$8*Eingabemaske!$B$18),$C111,"0"))</f>
        <v>0</v>
      </c>
      <c r="GP111" s="222">
        <v>7738</v>
      </c>
      <c r="GQ111" s="224">
        <f t="shared" si="122"/>
        <v>0</v>
      </c>
      <c r="GR111" s="222">
        <v>7738</v>
      </c>
      <c r="GS111" s="226" t="str">
        <f t="shared" si="143"/>
        <v xml:space="preserve"> </v>
      </c>
      <c r="GT111" s="312">
        <v>7738</v>
      </c>
      <c r="GU111" s="286">
        <f>GO111*Wirtschaftlichkeit!$Z$5/Wirtschaftlichkeit!$Z$7</f>
        <v>0</v>
      </c>
      <c r="GV111" s="284">
        <f t="shared" si="124"/>
        <v>0</v>
      </c>
      <c r="GW111" s="266"/>
      <c r="GX111" s="258">
        <v>7738</v>
      </c>
      <c r="GY111" s="270" t="str">
        <f>IF(Berechnung_Diagramme!$C$28=Berechnungen_Lastgang!$F$2,Berechnungen_Lastgang!G111,IF(Berechnung_Diagramme!$C$28=Berechnungen_Lastgang!$P$2,Berechnungen_Lastgang!Q111,IF(Berechnung_Diagramme!$C$28=Berechnungen_Lastgang!$Z$2,Berechnungen_Lastgang!AA111,IF(Berechnung_Diagramme!$C$28=Berechnungen_Lastgang!$AJ$2,Berechnungen_Lastgang!AK111,IF(Berechnung_Diagramme!$C$28=Berechnungen_Lastgang!$AT$2,Berechnungen_Lastgang!AU111,IF(Berechnung_Diagramme!$C$28=Berechnungen_Lastgang!$BD$2,Berechnungen_Lastgang!BE111,IF(Berechnung_Diagramme!$C$28=Berechnungen_Lastgang!$BN$2,Berechnungen_Lastgang!BO111,IF(Berechnung_Diagramme!$C$28=Berechnungen_Lastgang!$BX$2,Berechnungen_Lastgang!BY111,IF(Berechnung_Diagramme!$C$28=Berechnungen_Lastgang!$CH$2,Berechnungen_Lastgang!CI111,IF(Berechnung_Diagramme!$C$28=Berechnungen_Lastgang!$CR$2,Berechnungen_Lastgang!CS111,IF(Berechnung_Diagramme!$C$28=Berechnungen_Lastgang!$DB$2,Berechnungen_Lastgang!DC111,IF(Berechnung_Diagramme!$C$28=Berechnungen_Lastgang!$DL$2,Berechnungen_Lastgang!DM111,IF(Berechnung_Diagramme!$C$28=Berechnungen_Lastgang!$DV$2,Berechnungen_Lastgang!DW111,IF(Berechnung_Diagramme!$C$28=Berechnungen_Lastgang!$EF$2,Berechnungen_Lastgang!EG111,IF(Berechnung_Diagramme!$C$28=Berechnungen_Lastgang!$EP$2,Berechnungen_Lastgang!EQ111,IF(Berechnung_Diagramme!$C$28=Berechnungen_Lastgang!$EZ$2,Berechnungen_Lastgang!FA111,IF(Berechnung_Diagramme!$C$28=Berechnungen_Lastgang!$FJ$2,Berechnungen_Lastgang!FK111,IF(Berechnung_Diagramme!$C$28=Berechnungen_Lastgang!$FT$2,Berechnungen_Lastgang!FU111,IF(Berechnung_Diagramme!$C$28=Berechnungen_Lastgang!$GD$2,Berechnungen_Lastgang!GE111,IF(Berechnung_Diagramme!$C$28=Berechnungen_Lastgang!$GN$2,Berechnungen_Lastgang!GO111,""))))))))))))))))))))</f>
        <v>0</v>
      </c>
    </row>
    <row r="112" spans="2:207" x14ac:dyDescent="0.25">
      <c r="B112" s="64">
        <v>7811</v>
      </c>
      <c r="C112" s="67">
        <f>C111+((C115-C111)/(B115-B111))*(B112-B111)</f>
        <v>2.2376699999999996</v>
      </c>
      <c r="D112" s="66">
        <f t="shared" si="144"/>
        <v>161.30992499999999</v>
      </c>
      <c r="F112" s="64">
        <v>7811</v>
      </c>
      <c r="G112" s="225">
        <f>IF($C112&gt;=Wirtschaftlichkeit!$G$8,Wirtschaftlichkeit!$G$8,IF(AND($C112&lt;=Wirtschaftlichkeit!$G$8,$C112&gt;=Wirtschaftlichkeit!$G$8*Eingabemaske!$B$18),$C112,"0"))</f>
        <v>2.2376699999999996</v>
      </c>
      <c r="H112" s="64">
        <v>7811</v>
      </c>
      <c r="I112" s="66">
        <f t="shared" si="145"/>
        <v>161.30992499999999</v>
      </c>
      <c r="J112" s="64">
        <v>7811</v>
      </c>
      <c r="K112" s="71">
        <f t="shared" si="146"/>
        <v>2.2376699999999996</v>
      </c>
      <c r="L112" s="312">
        <v>7811</v>
      </c>
      <c r="M112" s="286">
        <f>G112*Wirtschaftlichkeit!$G$5/Wirtschaftlichkeit!$G$7</f>
        <v>0.78976588235294098</v>
      </c>
      <c r="N112" s="284">
        <f t="shared" si="67"/>
        <v>56.932914705882339</v>
      </c>
      <c r="P112" s="222">
        <v>7811</v>
      </c>
      <c r="Q112" s="225" t="str">
        <f>IF($C112&gt;=Wirtschaftlichkeit!$H$8,Wirtschaftlichkeit!$H$8,IF(AND($C112&lt;=Wirtschaftlichkeit!$H$8,$C112&gt;=Wirtschaftlichkeit!$H$8*Eingabemaske!$B$18),$C112,"0"))</f>
        <v>0</v>
      </c>
      <c r="R112" s="222">
        <v>7811</v>
      </c>
      <c r="S112" s="224">
        <f t="shared" si="68"/>
        <v>0</v>
      </c>
      <c r="T112" s="222">
        <v>7811</v>
      </c>
      <c r="U112" s="226" t="str">
        <f t="shared" si="125"/>
        <v xml:space="preserve"> </v>
      </c>
      <c r="V112" s="312">
        <v>7811</v>
      </c>
      <c r="W112" s="286">
        <f>Q112*Wirtschaftlichkeit!$H$5/Wirtschaftlichkeit!$H$7</f>
        <v>0</v>
      </c>
      <c r="X112" s="284">
        <f t="shared" si="70"/>
        <v>0</v>
      </c>
      <c r="Z112" s="222">
        <v>7811</v>
      </c>
      <c r="AA112" s="225" t="str">
        <f>IF($C112&gt;=Wirtschaftlichkeit!$I$8,Wirtschaftlichkeit!$I$8,IF(AND($C112&lt;=Wirtschaftlichkeit!$I$8,$C112&gt;=Wirtschaftlichkeit!$I$8*Eingabemaske!$B$18),$C112,"0"))</f>
        <v>0</v>
      </c>
      <c r="AB112" s="222">
        <v>7811</v>
      </c>
      <c r="AC112" s="224">
        <f t="shared" si="71"/>
        <v>0</v>
      </c>
      <c r="AD112" s="222">
        <v>7811</v>
      </c>
      <c r="AE112" s="226" t="str">
        <f t="shared" si="126"/>
        <v xml:space="preserve"> </v>
      </c>
      <c r="AF112" s="312">
        <v>7811</v>
      </c>
      <c r="AG112" s="286">
        <f>AA112*Wirtschaftlichkeit!$I$5/Wirtschaftlichkeit!$I$7</f>
        <v>0</v>
      </c>
      <c r="AH112" s="284">
        <f t="shared" si="73"/>
        <v>0</v>
      </c>
      <c r="AJ112" s="222">
        <v>7811</v>
      </c>
      <c r="AK112" s="225" t="str">
        <f>IF($C112&gt;=Wirtschaftlichkeit!$J$8,Wirtschaftlichkeit!$J$8,IF(AND($C112&lt;=Wirtschaftlichkeit!$J$8,$C112&gt;=Wirtschaftlichkeit!$J$8*Eingabemaske!$B$18),$C112,"0"))</f>
        <v>0</v>
      </c>
      <c r="AL112" s="222">
        <v>7811</v>
      </c>
      <c r="AM112" s="224">
        <f t="shared" si="74"/>
        <v>0</v>
      </c>
      <c r="AN112" s="222">
        <v>7811</v>
      </c>
      <c r="AO112" s="226" t="str">
        <f t="shared" si="127"/>
        <v xml:space="preserve"> </v>
      </c>
      <c r="AP112" s="312">
        <v>7811</v>
      </c>
      <c r="AQ112" s="286">
        <f>AK112*Wirtschaftlichkeit!$J$5/Wirtschaftlichkeit!$J$7</f>
        <v>0</v>
      </c>
      <c r="AR112" s="284">
        <f t="shared" si="76"/>
        <v>0</v>
      </c>
      <c r="AT112" s="222">
        <v>7811</v>
      </c>
      <c r="AU112" s="225" t="str">
        <f>IF($C112&gt;=Wirtschaftlichkeit!$K$8,Wirtschaftlichkeit!$K$8,IF(AND($C112&lt;=Wirtschaftlichkeit!$K$8,$C112&gt;=Wirtschaftlichkeit!$K$8*Eingabemaske!$B$18),$C112,"0"))</f>
        <v>0</v>
      </c>
      <c r="AV112" s="222">
        <v>7811</v>
      </c>
      <c r="AW112" s="224">
        <f t="shared" si="77"/>
        <v>0</v>
      </c>
      <c r="AX112" s="222">
        <v>7811</v>
      </c>
      <c r="AY112" s="226" t="str">
        <f t="shared" si="128"/>
        <v xml:space="preserve"> </v>
      </c>
      <c r="AZ112" s="312">
        <v>7811</v>
      </c>
      <c r="BA112" s="286">
        <f>AU112*Wirtschaftlichkeit!$K$5/Wirtschaftlichkeit!$K$7</f>
        <v>0</v>
      </c>
      <c r="BB112" s="284">
        <f t="shared" si="79"/>
        <v>0</v>
      </c>
      <c r="BD112" s="222">
        <v>7811</v>
      </c>
      <c r="BE112" s="225" t="str">
        <f>IF($C112&gt;=Wirtschaftlichkeit!$L$8,Wirtschaftlichkeit!$L$8,IF(AND($C112&lt;=Wirtschaftlichkeit!$L$8,$C112&gt;=Wirtschaftlichkeit!$L$8*Eingabemaske!$B$18),$C112,"0"))</f>
        <v>0</v>
      </c>
      <c r="BF112" s="222">
        <v>7811</v>
      </c>
      <c r="BG112" s="224">
        <f t="shared" si="80"/>
        <v>0</v>
      </c>
      <c r="BH112" s="222">
        <v>7811</v>
      </c>
      <c r="BI112" s="226" t="str">
        <f t="shared" si="129"/>
        <v xml:space="preserve"> </v>
      </c>
      <c r="BJ112" s="312">
        <v>7811</v>
      </c>
      <c r="BK112" s="286">
        <f>BE112*Wirtschaftlichkeit!$L$5/Wirtschaftlichkeit!$L$7</f>
        <v>0</v>
      </c>
      <c r="BL112" s="284">
        <f t="shared" si="82"/>
        <v>0</v>
      </c>
      <c r="BN112" s="222">
        <v>7811</v>
      </c>
      <c r="BO112" s="225" t="str">
        <f>IF($C112&gt;=Wirtschaftlichkeit!$M$8,Wirtschaftlichkeit!$M$8,IF(AND($C112&lt;=Wirtschaftlichkeit!$M$8,$C112&gt;=Wirtschaftlichkeit!$M$8*Eingabemaske!$B$18),$C112,"0"))</f>
        <v>0</v>
      </c>
      <c r="BP112" s="222">
        <v>7811</v>
      </c>
      <c r="BQ112" s="224">
        <f t="shared" si="83"/>
        <v>0</v>
      </c>
      <c r="BR112" s="222">
        <v>7811</v>
      </c>
      <c r="BS112" s="226" t="str">
        <f t="shared" si="130"/>
        <v xml:space="preserve"> </v>
      </c>
      <c r="BT112" s="312">
        <v>7811</v>
      </c>
      <c r="BU112" s="286">
        <f>BO112*Wirtschaftlichkeit!$M$5/Wirtschaftlichkeit!$M$7</f>
        <v>0</v>
      </c>
      <c r="BV112" s="284">
        <f t="shared" si="85"/>
        <v>0</v>
      </c>
      <c r="BX112" s="222">
        <v>7811</v>
      </c>
      <c r="BY112" s="225" t="str">
        <f>IF($C112&gt;=Wirtschaftlichkeit!$N$8,Wirtschaftlichkeit!$N$8,IF(AND($C112&lt;=Wirtschaftlichkeit!$N$8,$C112&gt;=Wirtschaftlichkeit!$N$8*Eingabemaske!$B$18),$C112,"0"))</f>
        <v>0</v>
      </c>
      <c r="BZ112" s="222">
        <v>7811</v>
      </c>
      <c r="CA112" s="224">
        <f t="shared" si="86"/>
        <v>0</v>
      </c>
      <c r="CB112" s="222">
        <v>7811</v>
      </c>
      <c r="CC112" s="226" t="str">
        <f t="shared" si="131"/>
        <v xml:space="preserve"> </v>
      </c>
      <c r="CD112" s="312">
        <v>7811</v>
      </c>
      <c r="CE112" s="286">
        <f>BY112*Wirtschaftlichkeit!$N$5/Wirtschaftlichkeit!$N$7</f>
        <v>0</v>
      </c>
      <c r="CF112" s="284">
        <f t="shared" si="88"/>
        <v>0</v>
      </c>
      <c r="CH112" s="222">
        <v>7811</v>
      </c>
      <c r="CI112" s="225" t="str">
        <f>IF($C112&gt;=Wirtschaftlichkeit!$O$8,Wirtschaftlichkeit!$O$8,IF(AND($C112&lt;=Wirtschaftlichkeit!$O$8,$C112&gt;=Wirtschaftlichkeit!$O$8*Eingabemaske!$B$18),$C112,"0"))</f>
        <v>0</v>
      </c>
      <c r="CJ112" s="222">
        <v>7811</v>
      </c>
      <c r="CK112" s="224">
        <f t="shared" si="89"/>
        <v>0</v>
      </c>
      <c r="CL112" s="222">
        <v>7811</v>
      </c>
      <c r="CM112" s="226" t="str">
        <f t="shared" si="132"/>
        <v xml:space="preserve"> </v>
      </c>
      <c r="CN112" s="312">
        <v>7811</v>
      </c>
      <c r="CO112" s="286">
        <f>CI112*Wirtschaftlichkeit!$O$5/Wirtschaftlichkeit!$O$7</f>
        <v>0</v>
      </c>
      <c r="CP112" s="284">
        <f t="shared" si="91"/>
        <v>0</v>
      </c>
      <c r="CR112" s="222">
        <v>7811</v>
      </c>
      <c r="CS112" s="225" t="str">
        <f>IF($C112&gt;=Wirtschaftlichkeit!$P$8,Wirtschaftlichkeit!$P$8,IF(AND($C112&lt;=Wirtschaftlichkeit!$P$8,$C112&gt;=Wirtschaftlichkeit!$P$8*Eingabemaske!$B$18),$C112,"0"))</f>
        <v>0</v>
      </c>
      <c r="CT112" s="222">
        <v>7811</v>
      </c>
      <c r="CU112" s="224">
        <f t="shared" si="92"/>
        <v>0</v>
      </c>
      <c r="CV112" s="222">
        <v>7811</v>
      </c>
      <c r="CW112" s="226" t="str">
        <f t="shared" si="133"/>
        <v xml:space="preserve"> </v>
      </c>
      <c r="CX112" s="312">
        <v>7811</v>
      </c>
      <c r="CY112" s="286">
        <f>CS112*Wirtschaftlichkeit!$P$5/Wirtschaftlichkeit!$P$7</f>
        <v>0</v>
      </c>
      <c r="CZ112" s="284">
        <f t="shared" si="94"/>
        <v>0</v>
      </c>
      <c r="DB112" s="222">
        <v>7811</v>
      </c>
      <c r="DC112" s="225" t="str">
        <f>IF($C112&gt;=Wirtschaftlichkeit!$Q$8,Wirtschaftlichkeit!$Q$8,IF(AND($C112&lt;=Wirtschaftlichkeit!$Q$8,$C112&gt;=Wirtschaftlichkeit!$Q$8*Eingabemaske!$B$18),$C112,"0"))</f>
        <v>0</v>
      </c>
      <c r="DD112" s="222">
        <v>7811</v>
      </c>
      <c r="DE112" s="224">
        <f t="shared" si="95"/>
        <v>0</v>
      </c>
      <c r="DF112" s="222">
        <v>7811</v>
      </c>
      <c r="DG112" s="226" t="str">
        <f t="shared" si="134"/>
        <v xml:space="preserve"> </v>
      </c>
      <c r="DH112" s="312">
        <v>7811</v>
      </c>
      <c r="DI112" s="286">
        <f>DC112*Wirtschaftlichkeit!$Q$5/Wirtschaftlichkeit!$Q$7</f>
        <v>0</v>
      </c>
      <c r="DJ112" s="284">
        <f t="shared" si="97"/>
        <v>0</v>
      </c>
      <c r="DL112" s="222">
        <v>7811</v>
      </c>
      <c r="DM112" s="225" t="str">
        <f>IF($C112&gt;=Wirtschaftlichkeit!$R$8,Wirtschaftlichkeit!$R$8,IF(AND($C112&lt;=Wirtschaftlichkeit!$R$8,$C112&gt;=Wirtschaftlichkeit!$R$8*Eingabemaske!$B$18),$C112,"0"))</f>
        <v>0</v>
      </c>
      <c r="DN112" s="222">
        <v>7811</v>
      </c>
      <c r="DO112" s="224">
        <f t="shared" si="98"/>
        <v>0</v>
      </c>
      <c r="DP112" s="222">
        <v>7811</v>
      </c>
      <c r="DQ112" s="226" t="str">
        <f t="shared" si="135"/>
        <v xml:space="preserve"> </v>
      </c>
      <c r="DR112" s="312">
        <v>7811</v>
      </c>
      <c r="DS112" s="286">
        <f>DM112*Wirtschaftlichkeit!$R$5/Wirtschaftlichkeit!$R$7</f>
        <v>0</v>
      </c>
      <c r="DT112" s="284">
        <f t="shared" si="100"/>
        <v>0</v>
      </c>
      <c r="DV112" s="222">
        <v>7811</v>
      </c>
      <c r="DW112" s="225" t="str">
        <f>IF($C112&gt;=Wirtschaftlichkeit!$S$8,Wirtschaftlichkeit!$S$8,IF(AND($C112&lt;=Wirtschaftlichkeit!$S$8,$C112&gt;=Wirtschaftlichkeit!$S$8*Eingabemaske!$B$18),$C112,"0"))</f>
        <v>0</v>
      </c>
      <c r="DX112" s="222">
        <v>7811</v>
      </c>
      <c r="DY112" s="224">
        <f t="shared" si="101"/>
        <v>0</v>
      </c>
      <c r="DZ112" s="222">
        <v>7811</v>
      </c>
      <c r="EA112" s="226" t="str">
        <f t="shared" si="136"/>
        <v xml:space="preserve"> </v>
      </c>
      <c r="EB112" s="312">
        <v>7811</v>
      </c>
      <c r="EC112" s="286">
        <f>DW112*Wirtschaftlichkeit!$S$5/Wirtschaftlichkeit!$S$7</f>
        <v>0</v>
      </c>
      <c r="ED112" s="284">
        <f t="shared" si="103"/>
        <v>0</v>
      </c>
      <c r="EF112" s="222">
        <v>7811</v>
      </c>
      <c r="EG112" s="225" t="str">
        <f>IF($C112&gt;=Wirtschaftlichkeit!$T$8,Wirtschaftlichkeit!$T$8,IF(AND($C112&lt;=Wirtschaftlichkeit!$T$8,$C112&gt;=Wirtschaftlichkeit!$T$8*Eingabemaske!$B$18),$C112,"0"))</f>
        <v>0</v>
      </c>
      <c r="EH112" s="222">
        <v>7811</v>
      </c>
      <c r="EI112" s="224">
        <f t="shared" si="104"/>
        <v>0</v>
      </c>
      <c r="EJ112" s="222">
        <v>7811</v>
      </c>
      <c r="EK112" s="226" t="str">
        <f t="shared" si="137"/>
        <v xml:space="preserve"> </v>
      </c>
      <c r="EL112" s="312">
        <v>7811</v>
      </c>
      <c r="EM112" s="286">
        <f>EG112*Wirtschaftlichkeit!$T$5/Wirtschaftlichkeit!$T$7</f>
        <v>0</v>
      </c>
      <c r="EN112" s="284">
        <f t="shared" si="106"/>
        <v>0</v>
      </c>
      <c r="EP112" s="222">
        <v>7811</v>
      </c>
      <c r="EQ112" s="225" t="str">
        <f>IF($C112&gt;=Wirtschaftlichkeit!$U$8,Wirtschaftlichkeit!$U$8,IF(AND($C112&lt;=Wirtschaftlichkeit!$U$8,$C112&gt;=Wirtschaftlichkeit!$U$8*Eingabemaske!$B$18),$C112,"0"))</f>
        <v>0</v>
      </c>
      <c r="ER112" s="222">
        <v>7811</v>
      </c>
      <c r="ES112" s="224">
        <f t="shared" si="107"/>
        <v>0</v>
      </c>
      <c r="ET112" s="222">
        <v>7811</v>
      </c>
      <c r="EU112" s="226" t="str">
        <f t="shared" si="138"/>
        <v xml:space="preserve"> </v>
      </c>
      <c r="EV112" s="312">
        <v>7811</v>
      </c>
      <c r="EW112" s="286">
        <f>EQ112*Wirtschaftlichkeit!$U$5/Wirtschaftlichkeit!$U$7</f>
        <v>0</v>
      </c>
      <c r="EX112" s="284">
        <f t="shared" si="109"/>
        <v>0</v>
      </c>
      <c r="EZ112" s="222">
        <v>7811</v>
      </c>
      <c r="FA112" s="225" t="str">
        <f>IF($C112&gt;=Wirtschaftlichkeit!$V$8,Wirtschaftlichkeit!$V$8,IF(AND($C112&lt;=Wirtschaftlichkeit!$V$8,$C112&gt;=Wirtschaftlichkeit!$V$8*Eingabemaske!$B$18),$C112,"0"))</f>
        <v>0</v>
      </c>
      <c r="FB112" s="222">
        <v>7811</v>
      </c>
      <c r="FC112" s="224">
        <f t="shared" si="110"/>
        <v>0</v>
      </c>
      <c r="FD112" s="222">
        <v>7811</v>
      </c>
      <c r="FE112" s="226" t="str">
        <f t="shared" si="139"/>
        <v xml:space="preserve"> </v>
      </c>
      <c r="FF112" s="312">
        <v>7811</v>
      </c>
      <c r="FG112" s="286">
        <f>FA112*Wirtschaftlichkeit!$V$5/Wirtschaftlichkeit!$V$7</f>
        <v>0</v>
      </c>
      <c r="FH112" s="284">
        <f t="shared" si="112"/>
        <v>0</v>
      </c>
      <c r="FJ112" s="222">
        <v>7811</v>
      </c>
      <c r="FK112" s="225" t="str">
        <f>IF($C112&gt;=Wirtschaftlichkeit!$W$8,Wirtschaftlichkeit!$W$8,IF(AND($C112&lt;=Wirtschaftlichkeit!$W$8,$C112&gt;=Wirtschaftlichkeit!$W$8*Eingabemaske!$B$18),$C112,"0"))</f>
        <v>0</v>
      </c>
      <c r="FL112" s="222">
        <v>7811</v>
      </c>
      <c r="FM112" s="224">
        <f t="shared" si="113"/>
        <v>0</v>
      </c>
      <c r="FN112" s="222">
        <v>7811</v>
      </c>
      <c r="FO112" s="226" t="str">
        <f t="shared" si="140"/>
        <v xml:space="preserve"> </v>
      </c>
      <c r="FP112" s="312">
        <v>7811</v>
      </c>
      <c r="FQ112" s="286">
        <f>FK112*Wirtschaftlichkeit!$W$5/Wirtschaftlichkeit!$W$7</f>
        <v>0</v>
      </c>
      <c r="FR112" s="284">
        <f t="shared" si="115"/>
        <v>0</v>
      </c>
      <c r="FT112" s="222">
        <v>7811</v>
      </c>
      <c r="FU112" s="225" t="str">
        <f>IF($C112&gt;=Wirtschaftlichkeit!$X$8,Wirtschaftlichkeit!$X$8,IF(AND($C112&lt;=Wirtschaftlichkeit!$X$8,$C112&gt;=Wirtschaftlichkeit!$X$8*Eingabemaske!$B$18),$C112,"0"))</f>
        <v>0</v>
      </c>
      <c r="FV112" s="222">
        <v>7811</v>
      </c>
      <c r="FW112" s="224">
        <f t="shared" si="116"/>
        <v>0</v>
      </c>
      <c r="FX112" s="222">
        <v>7811</v>
      </c>
      <c r="FY112" s="226" t="str">
        <f t="shared" si="141"/>
        <v xml:space="preserve"> </v>
      </c>
      <c r="FZ112" s="312">
        <v>7811</v>
      </c>
      <c r="GA112" s="286">
        <f>FU112*Wirtschaftlichkeit!$X$5/Wirtschaftlichkeit!$X$7</f>
        <v>0</v>
      </c>
      <c r="GB112" s="284">
        <f t="shared" si="118"/>
        <v>0</v>
      </c>
      <c r="GD112" s="222">
        <v>7811</v>
      </c>
      <c r="GE112" s="225" t="str">
        <f>IF($C112&gt;=Wirtschaftlichkeit!$Y$8,Wirtschaftlichkeit!$Y$8,IF(AND($C112&lt;=Wirtschaftlichkeit!$Y$8,$C112&gt;=Wirtschaftlichkeit!$Y$8*Eingabemaske!$B$18),$C112,"0"))</f>
        <v>0</v>
      </c>
      <c r="GF112" s="222">
        <v>7811</v>
      </c>
      <c r="GG112" s="224">
        <f t="shared" si="119"/>
        <v>0</v>
      </c>
      <c r="GH112" s="222">
        <v>7811</v>
      </c>
      <c r="GI112" s="226" t="str">
        <f t="shared" si="142"/>
        <v xml:space="preserve"> </v>
      </c>
      <c r="GJ112" s="312">
        <v>7811</v>
      </c>
      <c r="GK112" s="286">
        <f>GE112*Wirtschaftlichkeit!$Y$5/Wirtschaftlichkeit!$Y$7</f>
        <v>0</v>
      </c>
      <c r="GL112" s="284">
        <f t="shared" si="121"/>
        <v>0</v>
      </c>
      <c r="GN112" s="222">
        <v>7811</v>
      </c>
      <c r="GO112" s="225" t="str">
        <f>IF($C112&gt;=Wirtschaftlichkeit!$Z$8,Wirtschaftlichkeit!$Z$8,IF(AND($C112&lt;=Wirtschaftlichkeit!$Z$8,$C112&gt;=Wirtschaftlichkeit!$Z$8*Eingabemaske!$B$18),$C112,"0"))</f>
        <v>0</v>
      </c>
      <c r="GP112" s="222">
        <v>7811</v>
      </c>
      <c r="GQ112" s="224">
        <f t="shared" si="122"/>
        <v>0</v>
      </c>
      <c r="GR112" s="222">
        <v>7811</v>
      </c>
      <c r="GS112" s="226" t="str">
        <f t="shared" si="143"/>
        <v xml:space="preserve"> </v>
      </c>
      <c r="GT112" s="312">
        <v>7811</v>
      </c>
      <c r="GU112" s="286">
        <f>GO112*Wirtschaftlichkeit!$Z$5/Wirtschaftlichkeit!$Z$7</f>
        <v>0</v>
      </c>
      <c r="GV112" s="284">
        <f t="shared" si="124"/>
        <v>0</v>
      </c>
      <c r="GW112" s="266"/>
      <c r="GX112" s="258">
        <v>7811</v>
      </c>
      <c r="GY112" s="270" t="str">
        <f>IF(Berechnung_Diagramme!$C$28=Berechnungen_Lastgang!$F$2,Berechnungen_Lastgang!G112,IF(Berechnung_Diagramme!$C$28=Berechnungen_Lastgang!$P$2,Berechnungen_Lastgang!Q112,IF(Berechnung_Diagramme!$C$28=Berechnungen_Lastgang!$Z$2,Berechnungen_Lastgang!AA112,IF(Berechnung_Diagramme!$C$28=Berechnungen_Lastgang!$AJ$2,Berechnungen_Lastgang!AK112,IF(Berechnung_Diagramme!$C$28=Berechnungen_Lastgang!$AT$2,Berechnungen_Lastgang!AU112,IF(Berechnung_Diagramme!$C$28=Berechnungen_Lastgang!$BD$2,Berechnungen_Lastgang!BE112,IF(Berechnung_Diagramme!$C$28=Berechnungen_Lastgang!$BN$2,Berechnungen_Lastgang!BO112,IF(Berechnung_Diagramme!$C$28=Berechnungen_Lastgang!$BX$2,Berechnungen_Lastgang!BY112,IF(Berechnung_Diagramme!$C$28=Berechnungen_Lastgang!$CH$2,Berechnungen_Lastgang!CI112,IF(Berechnung_Diagramme!$C$28=Berechnungen_Lastgang!$CR$2,Berechnungen_Lastgang!CS112,IF(Berechnung_Diagramme!$C$28=Berechnungen_Lastgang!$DB$2,Berechnungen_Lastgang!DC112,IF(Berechnung_Diagramme!$C$28=Berechnungen_Lastgang!$DL$2,Berechnungen_Lastgang!DM112,IF(Berechnung_Diagramme!$C$28=Berechnungen_Lastgang!$DV$2,Berechnungen_Lastgang!DW112,IF(Berechnung_Diagramme!$C$28=Berechnungen_Lastgang!$EF$2,Berechnungen_Lastgang!EG112,IF(Berechnung_Diagramme!$C$28=Berechnungen_Lastgang!$EP$2,Berechnungen_Lastgang!EQ112,IF(Berechnung_Diagramme!$C$28=Berechnungen_Lastgang!$EZ$2,Berechnungen_Lastgang!FA112,IF(Berechnung_Diagramme!$C$28=Berechnungen_Lastgang!$FJ$2,Berechnungen_Lastgang!FK112,IF(Berechnung_Diagramme!$C$28=Berechnungen_Lastgang!$FT$2,Berechnungen_Lastgang!FU112,IF(Berechnung_Diagramme!$C$28=Berechnungen_Lastgang!$GD$2,Berechnungen_Lastgang!GE112,IF(Berechnung_Diagramme!$C$28=Berechnungen_Lastgang!$GN$2,Berechnungen_Lastgang!GO112,""))))))))))))))))))))</f>
        <v>0</v>
      </c>
    </row>
    <row r="113" spans="2:207" x14ac:dyDescent="0.25">
      <c r="B113" s="64">
        <v>7884</v>
      </c>
      <c r="C113" s="67">
        <f>C112+((C115-C112)/(B115-B112))*(B113-B112)</f>
        <v>2.1817799999999998</v>
      </c>
      <c r="D113" s="66">
        <f t="shared" si="144"/>
        <v>157.22995499999999</v>
      </c>
      <c r="F113" s="64">
        <v>7884</v>
      </c>
      <c r="G113" s="225">
        <f>IF($C113&gt;=Wirtschaftlichkeit!$G$8,Wirtschaftlichkeit!$G$8,IF(AND($C113&lt;=Wirtschaftlichkeit!$G$8,$C113&gt;=Wirtschaftlichkeit!$G$8*Eingabemaske!$B$18),$C113,"0"))</f>
        <v>2.1817799999999998</v>
      </c>
      <c r="H113" s="64">
        <v>7884</v>
      </c>
      <c r="I113" s="66">
        <f t="shared" si="145"/>
        <v>157.22995499999999</v>
      </c>
      <c r="J113" s="64">
        <v>7884</v>
      </c>
      <c r="K113" s="71">
        <f t="shared" si="146"/>
        <v>2.1817799999999998</v>
      </c>
      <c r="L113" s="312">
        <v>7884</v>
      </c>
      <c r="M113" s="286">
        <f>G113*Wirtschaftlichkeit!$G$5/Wirtschaftlichkeit!$G$7</f>
        <v>0.77003999999999984</v>
      </c>
      <c r="N113" s="284">
        <f t="shared" si="67"/>
        <v>55.492925294117633</v>
      </c>
      <c r="P113" s="222">
        <v>7884</v>
      </c>
      <c r="Q113" s="225" t="str">
        <f>IF($C113&gt;=Wirtschaftlichkeit!$H$8,Wirtschaftlichkeit!$H$8,IF(AND($C113&lt;=Wirtschaftlichkeit!$H$8,$C113&gt;=Wirtschaftlichkeit!$H$8*Eingabemaske!$B$18),$C113,"0"))</f>
        <v>0</v>
      </c>
      <c r="R113" s="222">
        <v>7884</v>
      </c>
      <c r="S113" s="224">
        <f t="shared" si="68"/>
        <v>0</v>
      </c>
      <c r="T113" s="222">
        <v>7884</v>
      </c>
      <c r="U113" s="226" t="str">
        <f t="shared" si="125"/>
        <v xml:space="preserve"> </v>
      </c>
      <c r="V113" s="312">
        <v>7884</v>
      </c>
      <c r="W113" s="286">
        <f>Q113*Wirtschaftlichkeit!$H$5/Wirtschaftlichkeit!$H$7</f>
        <v>0</v>
      </c>
      <c r="X113" s="284">
        <f t="shared" si="70"/>
        <v>0</v>
      </c>
      <c r="Z113" s="222">
        <v>7884</v>
      </c>
      <c r="AA113" s="225" t="str">
        <f>IF($C113&gt;=Wirtschaftlichkeit!$I$8,Wirtschaftlichkeit!$I$8,IF(AND($C113&lt;=Wirtschaftlichkeit!$I$8,$C113&gt;=Wirtschaftlichkeit!$I$8*Eingabemaske!$B$18),$C113,"0"))</f>
        <v>0</v>
      </c>
      <c r="AB113" s="222">
        <v>7884</v>
      </c>
      <c r="AC113" s="224">
        <f t="shared" si="71"/>
        <v>0</v>
      </c>
      <c r="AD113" s="222">
        <v>7884</v>
      </c>
      <c r="AE113" s="226" t="str">
        <f t="shared" si="126"/>
        <v xml:space="preserve"> </v>
      </c>
      <c r="AF113" s="312">
        <v>7884</v>
      </c>
      <c r="AG113" s="286">
        <f>AA113*Wirtschaftlichkeit!$I$5/Wirtschaftlichkeit!$I$7</f>
        <v>0</v>
      </c>
      <c r="AH113" s="284">
        <f t="shared" si="73"/>
        <v>0</v>
      </c>
      <c r="AJ113" s="222">
        <v>7884</v>
      </c>
      <c r="AK113" s="225" t="str">
        <f>IF($C113&gt;=Wirtschaftlichkeit!$J$8,Wirtschaftlichkeit!$J$8,IF(AND($C113&lt;=Wirtschaftlichkeit!$J$8,$C113&gt;=Wirtschaftlichkeit!$J$8*Eingabemaske!$B$18),$C113,"0"))</f>
        <v>0</v>
      </c>
      <c r="AL113" s="222">
        <v>7884</v>
      </c>
      <c r="AM113" s="224">
        <f t="shared" si="74"/>
        <v>0</v>
      </c>
      <c r="AN113" s="222">
        <v>7884</v>
      </c>
      <c r="AO113" s="226" t="str">
        <f t="shared" si="127"/>
        <v xml:space="preserve"> </v>
      </c>
      <c r="AP113" s="312">
        <v>7884</v>
      </c>
      <c r="AQ113" s="286">
        <f>AK113*Wirtschaftlichkeit!$J$5/Wirtschaftlichkeit!$J$7</f>
        <v>0</v>
      </c>
      <c r="AR113" s="284">
        <f t="shared" si="76"/>
        <v>0</v>
      </c>
      <c r="AT113" s="222">
        <v>7884</v>
      </c>
      <c r="AU113" s="225" t="str">
        <f>IF($C113&gt;=Wirtschaftlichkeit!$K$8,Wirtschaftlichkeit!$K$8,IF(AND($C113&lt;=Wirtschaftlichkeit!$K$8,$C113&gt;=Wirtschaftlichkeit!$K$8*Eingabemaske!$B$18),$C113,"0"))</f>
        <v>0</v>
      </c>
      <c r="AV113" s="222">
        <v>7884</v>
      </c>
      <c r="AW113" s="224">
        <f t="shared" si="77"/>
        <v>0</v>
      </c>
      <c r="AX113" s="222">
        <v>7884</v>
      </c>
      <c r="AY113" s="226" t="str">
        <f t="shared" si="128"/>
        <v xml:space="preserve"> </v>
      </c>
      <c r="AZ113" s="312">
        <v>7884</v>
      </c>
      <c r="BA113" s="286">
        <f>AU113*Wirtschaftlichkeit!$K$5/Wirtschaftlichkeit!$K$7</f>
        <v>0</v>
      </c>
      <c r="BB113" s="284">
        <f t="shared" si="79"/>
        <v>0</v>
      </c>
      <c r="BD113" s="222">
        <v>7884</v>
      </c>
      <c r="BE113" s="225" t="str">
        <f>IF($C113&gt;=Wirtschaftlichkeit!$L$8,Wirtschaftlichkeit!$L$8,IF(AND($C113&lt;=Wirtschaftlichkeit!$L$8,$C113&gt;=Wirtschaftlichkeit!$L$8*Eingabemaske!$B$18),$C113,"0"))</f>
        <v>0</v>
      </c>
      <c r="BF113" s="222">
        <v>7884</v>
      </c>
      <c r="BG113" s="224">
        <f t="shared" si="80"/>
        <v>0</v>
      </c>
      <c r="BH113" s="222">
        <v>7884</v>
      </c>
      <c r="BI113" s="226" t="str">
        <f t="shared" si="129"/>
        <v xml:space="preserve"> </v>
      </c>
      <c r="BJ113" s="312">
        <v>7884</v>
      </c>
      <c r="BK113" s="286">
        <f>BE113*Wirtschaftlichkeit!$L$5/Wirtschaftlichkeit!$L$7</f>
        <v>0</v>
      </c>
      <c r="BL113" s="284">
        <f t="shared" si="82"/>
        <v>0</v>
      </c>
      <c r="BN113" s="222">
        <v>7884</v>
      </c>
      <c r="BO113" s="225" t="str">
        <f>IF($C113&gt;=Wirtschaftlichkeit!$M$8,Wirtschaftlichkeit!$M$8,IF(AND($C113&lt;=Wirtschaftlichkeit!$M$8,$C113&gt;=Wirtschaftlichkeit!$M$8*Eingabemaske!$B$18),$C113,"0"))</f>
        <v>0</v>
      </c>
      <c r="BP113" s="222">
        <v>7884</v>
      </c>
      <c r="BQ113" s="224">
        <f t="shared" si="83"/>
        <v>0</v>
      </c>
      <c r="BR113" s="222">
        <v>7884</v>
      </c>
      <c r="BS113" s="226" t="str">
        <f t="shared" si="130"/>
        <v xml:space="preserve"> </v>
      </c>
      <c r="BT113" s="312">
        <v>7884</v>
      </c>
      <c r="BU113" s="286">
        <f>BO113*Wirtschaftlichkeit!$M$5/Wirtschaftlichkeit!$M$7</f>
        <v>0</v>
      </c>
      <c r="BV113" s="284">
        <f t="shared" si="85"/>
        <v>0</v>
      </c>
      <c r="BX113" s="222">
        <v>7884</v>
      </c>
      <c r="BY113" s="225" t="str">
        <f>IF($C113&gt;=Wirtschaftlichkeit!$N$8,Wirtschaftlichkeit!$N$8,IF(AND($C113&lt;=Wirtschaftlichkeit!$N$8,$C113&gt;=Wirtschaftlichkeit!$N$8*Eingabemaske!$B$18),$C113,"0"))</f>
        <v>0</v>
      </c>
      <c r="BZ113" s="222">
        <v>7884</v>
      </c>
      <c r="CA113" s="224">
        <f t="shared" si="86"/>
        <v>0</v>
      </c>
      <c r="CB113" s="222">
        <v>7884</v>
      </c>
      <c r="CC113" s="226" t="str">
        <f t="shared" si="131"/>
        <v xml:space="preserve"> </v>
      </c>
      <c r="CD113" s="312">
        <v>7884</v>
      </c>
      <c r="CE113" s="286">
        <f>BY113*Wirtschaftlichkeit!$N$5/Wirtschaftlichkeit!$N$7</f>
        <v>0</v>
      </c>
      <c r="CF113" s="284">
        <f t="shared" si="88"/>
        <v>0</v>
      </c>
      <c r="CH113" s="222">
        <v>7884</v>
      </c>
      <c r="CI113" s="225" t="str">
        <f>IF($C113&gt;=Wirtschaftlichkeit!$O$8,Wirtschaftlichkeit!$O$8,IF(AND($C113&lt;=Wirtschaftlichkeit!$O$8,$C113&gt;=Wirtschaftlichkeit!$O$8*Eingabemaske!$B$18),$C113,"0"))</f>
        <v>0</v>
      </c>
      <c r="CJ113" s="222">
        <v>7884</v>
      </c>
      <c r="CK113" s="224">
        <f t="shared" si="89"/>
        <v>0</v>
      </c>
      <c r="CL113" s="222">
        <v>7884</v>
      </c>
      <c r="CM113" s="226" t="str">
        <f t="shared" si="132"/>
        <v xml:space="preserve"> </v>
      </c>
      <c r="CN113" s="312">
        <v>7884</v>
      </c>
      <c r="CO113" s="286">
        <f>CI113*Wirtschaftlichkeit!$O$5/Wirtschaftlichkeit!$O$7</f>
        <v>0</v>
      </c>
      <c r="CP113" s="284">
        <f t="shared" si="91"/>
        <v>0</v>
      </c>
      <c r="CR113" s="222">
        <v>7884</v>
      </c>
      <c r="CS113" s="225" t="str">
        <f>IF($C113&gt;=Wirtschaftlichkeit!$P$8,Wirtschaftlichkeit!$P$8,IF(AND($C113&lt;=Wirtschaftlichkeit!$P$8,$C113&gt;=Wirtschaftlichkeit!$P$8*Eingabemaske!$B$18),$C113,"0"))</f>
        <v>0</v>
      </c>
      <c r="CT113" s="222">
        <v>7884</v>
      </c>
      <c r="CU113" s="224">
        <f t="shared" si="92"/>
        <v>0</v>
      </c>
      <c r="CV113" s="222">
        <v>7884</v>
      </c>
      <c r="CW113" s="226" t="str">
        <f t="shared" si="133"/>
        <v xml:space="preserve"> </v>
      </c>
      <c r="CX113" s="312">
        <v>7884</v>
      </c>
      <c r="CY113" s="286">
        <f>CS113*Wirtschaftlichkeit!$P$5/Wirtschaftlichkeit!$P$7</f>
        <v>0</v>
      </c>
      <c r="CZ113" s="284">
        <f t="shared" si="94"/>
        <v>0</v>
      </c>
      <c r="DB113" s="222">
        <v>7884</v>
      </c>
      <c r="DC113" s="225" t="str">
        <f>IF($C113&gt;=Wirtschaftlichkeit!$Q$8,Wirtschaftlichkeit!$Q$8,IF(AND($C113&lt;=Wirtschaftlichkeit!$Q$8,$C113&gt;=Wirtschaftlichkeit!$Q$8*Eingabemaske!$B$18),$C113,"0"))</f>
        <v>0</v>
      </c>
      <c r="DD113" s="222">
        <v>7884</v>
      </c>
      <c r="DE113" s="224">
        <f t="shared" si="95"/>
        <v>0</v>
      </c>
      <c r="DF113" s="222">
        <v>7884</v>
      </c>
      <c r="DG113" s="226" t="str">
        <f t="shared" si="134"/>
        <v xml:space="preserve"> </v>
      </c>
      <c r="DH113" s="312">
        <v>7884</v>
      </c>
      <c r="DI113" s="286">
        <f>DC113*Wirtschaftlichkeit!$Q$5/Wirtschaftlichkeit!$Q$7</f>
        <v>0</v>
      </c>
      <c r="DJ113" s="284">
        <f t="shared" si="97"/>
        <v>0</v>
      </c>
      <c r="DL113" s="222">
        <v>7884</v>
      </c>
      <c r="DM113" s="225" t="str">
        <f>IF($C113&gt;=Wirtschaftlichkeit!$R$8,Wirtschaftlichkeit!$R$8,IF(AND($C113&lt;=Wirtschaftlichkeit!$R$8,$C113&gt;=Wirtschaftlichkeit!$R$8*Eingabemaske!$B$18),$C113,"0"))</f>
        <v>0</v>
      </c>
      <c r="DN113" s="222">
        <v>7884</v>
      </c>
      <c r="DO113" s="224">
        <f t="shared" si="98"/>
        <v>0</v>
      </c>
      <c r="DP113" s="222">
        <v>7884</v>
      </c>
      <c r="DQ113" s="226" t="str">
        <f t="shared" si="135"/>
        <v xml:space="preserve"> </v>
      </c>
      <c r="DR113" s="312">
        <v>7884</v>
      </c>
      <c r="DS113" s="286">
        <f>DM113*Wirtschaftlichkeit!$R$5/Wirtschaftlichkeit!$R$7</f>
        <v>0</v>
      </c>
      <c r="DT113" s="284">
        <f t="shared" si="100"/>
        <v>0</v>
      </c>
      <c r="DV113" s="222">
        <v>7884</v>
      </c>
      <c r="DW113" s="225" t="str">
        <f>IF($C113&gt;=Wirtschaftlichkeit!$S$8,Wirtschaftlichkeit!$S$8,IF(AND($C113&lt;=Wirtschaftlichkeit!$S$8,$C113&gt;=Wirtschaftlichkeit!$S$8*Eingabemaske!$B$18),$C113,"0"))</f>
        <v>0</v>
      </c>
      <c r="DX113" s="222">
        <v>7884</v>
      </c>
      <c r="DY113" s="224">
        <f t="shared" si="101"/>
        <v>0</v>
      </c>
      <c r="DZ113" s="222">
        <v>7884</v>
      </c>
      <c r="EA113" s="226" t="str">
        <f t="shared" si="136"/>
        <v xml:space="preserve"> </v>
      </c>
      <c r="EB113" s="312">
        <v>7884</v>
      </c>
      <c r="EC113" s="286">
        <f>DW113*Wirtschaftlichkeit!$S$5/Wirtschaftlichkeit!$S$7</f>
        <v>0</v>
      </c>
      <c r="ED113" s="284">
        <f t="shared" si="103"/>
        <v>0</v>
      </c>
      <c r="EF113" s="222">
        <v>7884</v>
      </c>
      <c r="EG113" s="225" t="str">
        <f>IF($C113&gt;=Wirtschaftlichkeit!$T$8,Wirtschaftlichkeit!$T$8,IF(AND($C113&lt;=Wirtschaftlichkeit!$T$8,$C113&gt;=Wirtschaftlichkeit!$T$8*Eingabemaske!$B$18),$C113,"0"))</f>
        <v>0</v>
      </c>
      <c r="EH113" s="222">
        <v>7884</v>
      </c>
      <c r="EI113" s="224">
        <f t="shared" si="104"/>
        <v>0</v>
      </c>
      <c r="EJ113" s="222">
        <v>7884</v>
      </c>
      <c r="EK113" s="226" t="str">
        <f t="shared" si="137"/>
        <v xml:space="preserve"> </v>
      </c>
      <c r="EL113" s="312">
        <v>7884</v>
      </c>
      <c r="EM113" s="286">
        <f>EG113*Wirtschaftlichkeit!$T$5/Wirtschaftlichkeit!$T$7</f>
        <v>0</v>
      </c>
      <c r="EN113" s="284">
        <f t="shared" si="106"/>
        <v>0</v>
      </c>
      <c r="EP113" s="222">
        <v>7884</v>
      </c>
      <c r="EQ113" s="225" t="str">
        <f>IF($C113&gt;=Wirtschaftlichkeit!$U$8,Wirtschaftlichkeit!$U$8,IF(AND($C113&lt;=Wirtschaftlichkeit!$U$8,$C113&gt;=Wirtschaftlichkeit!$U$8*Eingabemaske!$B$18),$C113,"0"))</f>
        <v>0</v>
      </c>
      <c r="ER113" s="222">
        <v>7884</v>
      </c>
      <c r="ES113" s="224">
        <f t="shared" si="107"/>
        <v>0</v>
      </c>
      <c r="ET113" s="222">
        <v>7884</v>
      </c>
      <c r="EU113" s="226" t="str">
        <f t="shared" si="138"/>
        <v xml:space="preserve"> </v>
      </c>
      <c r="EV113" s="312">
        <v>7884</v>
      </c>
      <c r="EW113" s="286">
        <f>EQ113*Wirtschaftlichkeit!$U$5/Wirtschaftlichkeit!$U$7</f>
        <v>0</v>
      </c>
      <c r="EX113" s="284">
        <f t="shared" si="109"/>
        <v>0</v>
      </c>
      <c r="EZ113" s="222">
        <v>7884</v>
      </c>
      <c r="FA113" s="225" t="str">
        <f>IF($C113&gt;=Wirtschaftlichkeit!$V$8,Wirtschaftlichkeit!$V$8,IF(AND($C113&lt;=Wirtschaftlichkeit!$V$8,$C113&gt;=Wirtschaftlichkeit!$V$8*Eingabemaske!$B$18),$C113,"0"))</f>
        <v>0</v>
      </c>
      <c r="FB113" s="222">
        <v>7884</v>
      </c>
      <c r="FC113" s="224">
        <f t="shared" si="110"/>
        <v>0</v>
      </c>
      <c r="FD113" s="222">
        <v>7884</v>
      </c>
      <c r="FE113" s="226" t="str">
        <f t="shared" si="139"/>
        <v xml:space="preserve"> </v>
      </c>
      <c r="FF113" s="312">
        <v>7884</v>
      </c>
      <c r="FG113" s="286">
        <f>FA113*Wirtschaftlichkeit!$V$5/Wirtschaftlichkeit!$V$7</f>
        <v>0</v>
      </c>
      <c r="FH113" s="284">
        <f t="shared" si="112"/>
        <v>0</v>
      </c>
      <c r="FJ113" s="222">
        <v>7884</v>
      </c>
      <c r="FK113" s="225" t="str">
        <f>IF($C113&gt;=Wirtschaftlichkeit!$W$8,Wirtschaftlichkeit!$W$8,IF(AND($C113&lt;=Wirtschaftlichkeit!$W$8,$C113&gt;=Wirtschaftlichkeit!$W$8*Eingabemaske!$B$18),$C113,"0"))</f>
        <v>0</v>
      </c>
      <c r="FL113" s="222">
        <v>7884</v>
      </c>
      <c r="FM113" s="224">
        <f t="shared" si="113"/>
        <v>0</v>
      </c>
      <c r="FN113" s="222">
        <v>7884</v>
      </c>
      <c r="FO113" s="226" t="str">
        <f t="shared" si="140"/>
        <v xml:space="preserve"> </v>
      </c>
      <c r="FP113" s="312">
        <v>7884</v>
      </c>
      <c r="FQ113" s="286">
        <f>FK113*Wirtschaftlichkeit!$W$5/Wirtschaftlichkeit!$W$7</f>
        <v>0</v>
      </c>
      <c r="FR113" s="284">
        <f t="shared" si="115"/>
        <v>0</v>
      </c>
      <c r="FT113" s="222">
        <v>7884</v>
      </c>
      <c r="FU113" s="225" t="str">
        <f>IF($C113&gt;=Wirtschaftlichkeit!$X$8,Wirtschaftlichkeit!$X$8,IF(AND($C113&lt;=Wirtschaftlichkeit!$X$8,$C113&gt;=Wirtschaftlichkeit!$X$8*Eingabemaske!$B$18),$C113,"0"))</f>
        <v>0</v>
      </c>
      <c r="FV113" s="222">
        <v>7884</v>
      </c>
      <c r="FW113" s="224">
        <f t="shared" si="116"/>
        <v>0</v>
      </c>
      <c r="FX113" s="222">
        <v>7884</v>
      </c>
      <c r="FY113" s="226" t="str">
        <f t="shared" si="141"/>
        <v xml:space="preserve"> </v>
      </c>
      <c r="FZ113" s="312">
        <v>7884</v>
      </c>
      <c r="GA113" s="286">
        <f>FU113*Wirtschaftlichkeit!$X$5/Wirtschaftlichkeit!$X$7</f>
        <v>0</v>
      </c>
      <c r="GB113" s="284">
        <f t="shared" si="118"/>
        <v>0</v>
      </c>
      <c r="GD113" s="222">
        <v>7884</v>
      </c>
      <c r="GE113" s="225" t="str">
        <f>IF($C113&gt;=Wirtschaftlichkeit!$Y$8,Wirtschaftlichkeit!$Y$8,IF(AND($C113&lt;=Wirtschaftlichkeit!$Y$8,$C113&gt;=Wirtschaftlichkeit!$Y$8*Eingabemaske!$B$18),$C113,"0"))</f>
        <v>0</v>
      </c>
      <c r="GF113" s="222">
        <v>7884</v>
      </c>
      <c r="GG113" s="224">
        <f t="shared" si="119"/>
        <v>0</v>
      </c>
      <c r="GH113" s="222">
        <v>7884</v>
      </c>
      <c r="GI113" s="226" t="str">
        <f t="shared" si="142"/>
        <v xml:space="preserve"> </v>
      </c>
      <c r="GJ113" s="312">
        <v>7884</v>
      </c>
      <c r="GK113" s="286">
        <f>GE113*Wirtschaftlichkeit!$Y$5/Wirtschaftlichkeit!$Y$7</f>
        <v>0</v>
      </c>
      <c r="GL113" s="284">
        <f t="shared" si="121"/>
        <v>0</v>
      </c>
      <c r="GN113" s="222">
        <v>7884</v>
      </c>
      <c r="GO113" s="225" t="str">
        <f>IF($C113&gt;=Wirtschaftlichkeit!$Z$8,Wirtschaftlichkeit!$Z$8,IF(AND($C113&lt;=Wirtschaftlichkeit!$Z$8,$C113&gt;=Wirtschaftlichkeit!$Z$8*Eingabemaske!$B$18),$C113,"0"))</f>
        <v>0</v>
      </c>
      <c r="GP113" s="222">
        <v>7884</v>
      </c>
      <c r="GQ113" s="224">
        <f t="shared" si="122"/>
        <v>0</v>
      </c>
      <c r="GR113" s="222">
        <v>7884</v>
      </c>
      <c r="GS113" s="226" t="str">
        <f t="shared" si="143"/>
        <v xml:space="preserve"> </v>
      </c>
      <c r="GT113" s="312">
        <v>7884</v>
      </c>
      <c r="GU113" s="286">
        <f>GO113*Wirtschaftlichkeit!$Z$5/Wirtschaftlichkeit!$Z$7</f>
        <v>0</v>
      </c>
      <c r="GV113" s="284">
        <f t="shared" si="124"/>
        <v>0</v>
      </c>
      <c r="GW113" s="266"/>
      <c r="GX113" s="258">
        <v>7884</v>
      </c>
      <c r="GY113" s="270" t="str">
        <f>IF(Berechnung_Diagramme!$C$28=Berechnungen_Lastgang!$F$2,Berechnungen_Lastgang!G113,IF(Berechnung_Diagramme!$C$28=Berechnungen_Lastgang!$P$2,Berechnungen_Lastgang!Q113,IF(Berechnung_Diagramme!$C$28=Berechnungen_Lastgang!$Z$2,Berechnungen_Lastgang!AA113,IF(Berechnung_Diagramme!$C$28=Berechnungen_Lastgang!$AJ$2,Berechnungen_Lastgang!AK113,IF(Berechnung_Diagramme!$C$28=Berechnungen_Lastgang!$AT$2,Berechnungen_Lastgang!AU113,IF(Berechnung_Diagramme!$C$28=Berechnungen_Lastgang!$BD$2,Berechnungen_Lastgang!BE113,IF(Berechnung_Diagramme!$C$28=Berechnungen_Lastgang!$BN$2,Berechnungen_Lastgang!BO113,IF(Berechnung_Diagramme!$C$28=Berechnungen_Lastgang!$BX$2,Berechnungen_Lastgang!BY113,IF(Berechnung_Diagramme!$C$28=Berechnungen_Lastgang!$CH$2,Berechnungen_Lastgang!CI113,IF(Berechnung_Diagramme!$C$28=Berechnungen_Lastgang!$CR$2,Berechnungen_Lastgang!CS113,IF(Berechnung_Diagramme!$C$28=Berechnungen_Lastgang!$DB$2,Berechnungen_Lastgang!DC113,IF(Berechnung_Diagramme!$C$28=Berechnungen_Lastgang!$DL$2,Berechnungen_Lastgang!DM113,IF(Berechnung_Diagramme!$C$28=Berechnungen_Lastgang!$DV$2,Berechnungen_Lastgang!DW113,IF(Berechnung_Diagramme!$C$28=Berechnungen_Lastgang!$EF$2,Berechnungen_Lastgang!EG113,IF(Berechnung_Diagramme!$C$28=Berechnungen_Lastgang!$EP$2,Berechnungen_Lastgang!EQ113,IF(Berechnung_Diagramme!$C$28=Berechnungen_Lastgang!$EZ$2,Berechnungen_Lastgang!FA113,IF(Berechnung_Diagramme!$C$28=Berechnungen_Lastgang!$FJ$2,Berechnungen_Lastgang!FK113,IF(Berechnung_Diagramme!$C$28=Berechnungen_Lastgang!$FT$2,Berechnungen_Lastgang!FU113,IF(Berechnung_Diagramme!$C$28=Berechnungen_Lastgang!$GD$2,Berechnungen_Lastgang!GE113,IF(Berechnung_Diagramme!$C$28=Berechnungen_Lastgang!$GN$2,Berechnungen_Lastgang!GO113,""))))))))))))))))))))</f>
        <v>0</v>
      </c>
    </row>
    <row r="114" spans="2:207" x14ac:dyDescent="0.25">
      <c r="B114" s="64">
        <v>7957</v>
      </c>
      <c r="C114" s="67">
        <f>C113+((C115-C113)/(B115-B113))*(B114-B113)</f>
        <v>2.1258900000000001</v>
      </c>
      <c r="D114" s="66">
        <f t="shared" si="144"/>
        <v>153.14998500000002</v>
      </c>
      <c r="F114" s="64">
        <v>7957</v>
      </c>
      <c r="G114" s="225">
        <f>IF($C114&gt;=Wirtschaftlichkeit!$G$8,Wirtschaftlichkeit!$G$8,IF(AND($C114&lt;=Wirtschaftlichkeit!$G$8,$C114&gt;=Wirtschaftlichkeit!$G$8*Eingabemaske!$B$18),$C114,"0"))</f>
        <v>2.1258900000000001</v>
      </c>
      <c r="H114" s="64">
        <v>7957</v>
      </c>
      <c r="I114" s="66">
        <f t="shared" si="145"/>
        <v>153.14998500000002</v>
      </c>
      <c r="J114" s="64">
        <v>7957</v>
      </c>
      <c r="K114" s="71">
        <f t="shared" si="146"/>
        <v>2.1258900000000001</v>
      </c>
      <c r="L114" s="312">
        <v>7957</v>
      </c>
      <c r="M114" s="286">
        <f>G114*Wirtschaftlichkeit!$G$5/Wirtschaftlichkeit!$G$7</f>
        <v>0.7503141176470588</v>
      </c>
      <c r="N114" s="284">
        <f t="shared" si="67"/>
        <v>54.052935882352934</v>
      </c>
      <c r="P114" s="222">
        <v>7957</v>
      </c>
      <c r="Q114" s="225" t="str">
        <f>IF($C114&gt;=Wirtschaftlichkeit!$H$8,Wirtschaftlichkeit!$H$8,IF(AND($C114&lt;=Wirtschaftlichkeit!$H$8,$C114&gt;=Wirtschaftlichkeit!$H$8*Eingabemaske!$B$18),$C114,"0"))</f>
        <v>0</v>
      </c>
      <c r="R114" s="222">
        <v>7957</v>
      </c>
      <c r="S114" s="224">
        <f t="shared" si="68"/>
        <v>0</v>
      </c>
      <c r="T114" s="222">
        <v>7957</v>
      </c>
      <c r="U114" s="226" t="str">
        <f t="shared" si="125"/>
        <v xml:space="preserve"> </v>
      </c>
      <c r="V114" s="312">
        <v>7957</v>
      </c>
      <c r="W114" s="286">
        <f>Q114*Wirtschaftlichkeit!$H$5/Wirtschaftlichkeit!$H$7</f>
        <v>0</v>
      </c>
      <c r="X114" s="284">
        <f t="shared" si="70"/>
        <v>0</v>
      </c>
      <c r="Z114" s="222">
        <v>7957</v>
      </c>
      <c r="AA114" s="225" t="str">
        <f>IF($C114&gt;=Wirtschaftlichkeit!$I$8,Wirtschaftlichkeit!$I$8,IF(AND($C114&lt;=Wirtschaftlichkeit!$I$8,$C114&gt;=Wirtschaftlichkeit!$I$8*Eingabemaske!$B$18),$C114,"0"))</f>
        <v>0</v>
      </c>
      <c r="AB114" s="222">
        <v>7957</v>
      </c>
      <c r="AC114" s="224">
        <f t="shared" si="71"/>
        <v>0</v>
      </c>
      <c r="AD114" s="222">
        <v>7957</v>
      </c>
      <c r="AE114" s="226" t="str">
        <f t="shared" si="126"/>
        <v xml:space="preserve"> </v>
      </c>
      <c r="AF114" s="312">
        <v>7957</v>
      </c>
      <c r="AG114" s="286">
        <f>AA114*Wirtschaftlichkeit!$I$5/Wirtschaftlichkeit!$I$7</f>
        <v>0</v>
      </c>
      <c r="AH114" s="284">
        <f t="shared" si="73"/>
        <v>0</v>
      </c>
      <c r="AJ114" s="222">
        <v>7957</v>
      </c>
      <c r="AK114" s="225" t="str">
        <f>IF($C114&gt;=Wirtschaftlichkeit!$J$8,Wirtschaftlichkeit!$J$8,IF(AND($C114&lt;=Wirtschaftlichkeit!$J$8,$C114&gt;=Wirtschaftlichkeit!$J$8*Eingabemaske!$B$18),$C114,"0"))</f>
        <v>0</v>
      </c>
      <c r="AL114" s="222">
        <v>7957</v>
      </c>
      <c r="AM114" s="224">
        <f t="shared" si="74"/>
        <v>0</v>
      </c>
      <c r="AN114" s="222">
        <v>7957</v>
      </c>
      <c r="AO114" s="226" t="str">
        <f t="shared" si="127"/>
        <v xml:space="preserve"> </v>
      </c>
      <c r="AP114" s="312">
        <v>7957</v>
      </c>
      <c r="AQ114" s="286">
        <f>AK114*Wirtschaftlichkeit!$J$5/Wirtschaftlichkeit!$J$7</f>
        <v>0</v>
      </c>
      <c r="AR114" s="284">
        <f t="shared" si="76"/>
        <v>0</v>
      </c>
      <c r="AT114" s="222">
        <v>7957</v>
      </c>
      <c r="AU114" s="225" t="str">
        <f>IF($C114&gt;=Wirtschaftlichkeit!$K$8,Wirtschaftlichkeit!$K$8,IF(AND($C114&lt;=Wirtschaftlichkeit!$K$8,$C114&gt;=Wirtschaftlichkeit!$K$8*Eingabemaske!$B$18),$C114,"0"))</f>
        <v>0</v>
      </c>
      <c r="AV114" s="222">
        <v>7957</v>
      </c>
      <c r="AW114" s="224">
        <f t="shared" si="77"/>
        <v>0</v>
      </c>
      <c r="AX114" s="222">
        <v>7957</v>
      </c>
      <c r="AY114" s="226" t="str">
        <f t="shared" si="128"/>
        <v xml:space="preserve"> </v>
      </c>
      <c r="AZ114" s="312">
        <v>7957</v>
      </c>
      <c r="BA114" s="286">
        <f>AU114*Wirtschaftlichkeit!$K$5/Wirtschaftlichkeit!$K$7</f>
        <v>0</v>
      </c>
      <c r="BB114" s="284">
        <f t="shared" si="79"/>
        <v>0</v>
      </c>
      <c r="BD114" s="222">
        <v>7957</v>
      </c>
      <c r="BE114" s="225" t="str">
        <f>IF($C114&gt;=Wirtschaftlichkeit!$L$8,Wirtschaftlichkeit!$L$8,IF(AND($C114&lt;=Wirtschaftlichkeit!$L$8,$C114&gt;=Wirtschaftlichkeit!$L$8*Eingabemaske!$B$18),$C114,"0"))</f>
        <v>0</v>
      </c>
      <c r="BF114" s="222">
        <v>7957</v>
      </c>
      <c r="BG114" s="224">
        <f t="shared" si="80"/>
        <v>0</v>
      </c>
      <c r="BH114" s="222">
        <v>7957</v>
      </c>
      <c r="BI114" s="226" t="str">
        <f t="shared" si="129"/>
        <v xml:space="preserve"> </v>
      </c>
      <c r="BJ114" s="312">
        <v>7957</v>
      </c>
      <c r="BK114" s="286">
        <f>BE114*Wirtschaftlichkeit!$L$5/Wirtschaftlichkeit!$L$7</f>
        <v>0</v>
      </c>
      <c r="BL114" s="284">
        <f t="shared" si="82"/>
        <v>0</v>
      </c>
      <c r="BN114" s="222">
        <v>7957</v>
      </c>
      <c r="BO114" s="225" t="str">
        <f>IF($C114&gt;=Wirtschaftlichkeit!$M$8,Wirtschaftlichkeit!$M$8,IF(AND($C114&lt;=Wirtschaftlichkeit!$M$8,$C114&gt;=Wirtschaftlichkeit!$M$8*Eingabemaske!$B$18),$C114,"0"))</f>
        <v>0</v>
      </c>
      <c r="BP114" s="222">
        <v>7957</v>
      </c>
      <c r="BQ114" s="224">
        <f t="shared" si="83"/>
        <v>0</v>
      </c>
      <c r="BR114" s="222">
        <v>7957</v>
      </c>
      <c r="BS114" s="226" t="str">
        <f t="shared" si="130"/>
        <v xml:space="preserve"> </v>
      </c>
      <c r="BT114" s="312">
        <v>7957</v>
      </c>
      <c r="BU114" s="286">
        <f>BO114*Wirtschaftlichkeit!$M$5/Wirtschaftlichkeit!$M$7</f>
        <v>0</v>
      </c>
      <c r="BV114" s="284">
        <f t="shared" si="85"/>
        <v>0</v>
      </c>
      <c r="BX114" s="222">
        <v>7957</v>
      </c>
      <c r="BY114" s="225" t="str">
        <f>IF($C114&gt;=Wirtschaftlichkeit!$N$8,Wirtschaftlichkeit!$N$8,IF(AND($C114&lt;=Wirtschaftlichkeit!$N$8,$C114&gt;=Wirtschaftlichkeit!$N$8*Eingabemaske!$B$18),$C114,"0"))</f>
        <v>0</v>
      </c>
      <c r="BZ114" s="222">
        <v>7957</v>
      </c>
      <c r="CA114" s="224">
        <f t="shared" si="86"/>
        <v>0</v>
      </c>
      <c r="CB114" s="222">
        <v>7957</v>
      </c>
      <c r="CC114" s="226" t="str">
        <f t="shared" si="131"/>
        <v xml:space="preserve"> </v>
      </c>
      <c r="CD114" s="312">
        <v>7957</v>
      </c>
      <c r="CE114" s="286">
        <f>BY114*Wirtschaftlichkeit!$N$5/Wirtschaftlichkeit!$N$7</f>
        <v>0</v>
      </c>
      <c r="CF114" s="284">
        <f t="shared" si="88"/>
        <v>0</v>
      </c>
      <c r="CH114" s="222">
        <v>7957</v>
      </c>
      <c r="CI114" s="225" t="str">
        <f>IF($C114&gt;=Wirtschaftlichkeit!$O$8,Wirtschaftlichkeit!$O$8,IF(AND($C114&lt;=Wirtschaftlichkeit!$O$8,$C114&gt;=Wirtschaftlichkeit!$O$8*Eingabemaske!$B$18),$C114,"0"))</f>
        <v>0</v>
      </c>
      <c r="CJ114" s="222">
        <v>7957</v>
      </c>
      <c r="CK114" s="224">
        <f t="shared" si="89"/>
        <v>0</v>
      </c>
      <c r="CL114" s="222">
        <v>7957</v>
      </c>
      <c r="CM114" s="226" t="str">
        <f t="shared" si="132"/>
        <v xml:space="preserve"> </v>
      </c>
      <c r="CN114" s="312">
        <v>7957</v>
      </c>
      <c r="CO114" s="286">
        <f>CI114*Wirtschaftlichkeit!$O$5/Wirtschaftlichkeit!$O$7</f>
        <v>0</v>
      </c>
      <c r="CP114" s="284">
        <f t="shared" si="91"/>
        <v>0</v>
      </c>
      <c r="CR114" s="222">
        <v>7957</v>
      </c>
      <c r="CS114" s="225" t="str">
        <f>IF($C114&gt;=Wirtschaftlichkeit!$P$8,Wirtschaftlichkeit!$P$8,IF(AND($C114&lt;=Wirtschaftlichkeit!$P$8,$C114&gt;=Wirtschaftlichkeit!$P$8*Eingabemaske!$B$18),$C114,"0"))</f>
        <v>0</v>
      </c>
      <c r="CT114" s="222">
        <v>7957</v>
      </c>
      <c r="CU114" s="224">
        <f t="shared" si="92"/>
        <v>0</v>
      </c>
      <c r="CV114" s="222">
        <v>7957</v>
      </c>
      <c r="CW114" s="226" t="str">
        <f t="shared" si="133"/>
        <v xml:space="preserve"> </v>
      </c>
      <c r="CX114" s="312">
        <v>7957</v>
      </c>
      <c r="CY114" s="286">
        <f>CS114*Wirtschaftlichkeit!$P$5/Wirtschaftlichkeit!$P$7</f>
        <v>0</v>
      </c>
      <c r="CZ114" s="284">
        <f t="shared" si="94"/>
        <v>0</v>
      </c>
      <c r="DB114" s="222">
        <v>7957</v>
      </c>
      <c r="DC114" s="225" t="str">
        <f>IF($C114&gt;=Wirtschaftlichkeit!$Q$8,Wirtschaftlichkeit!$Q$8,IF(AND($C114&lt;=Wirtschaftlichkeit!$Q$8,$C114&gt;=Wirtschaftlichkeit!$Q$8*Eingabemaske!$B$18),$C114,"0"))</f>
        <v>0</v>
      </c>
      <c r="DD114" s="222">
        <v>7957</v>
      </c>
      <c r="DE114" s="224">
        <f t="shared" si="95"/>
        <v>0</v>
      </c>
      <c r="DF114" s="222">
        <v>7957</v>
      </c>
      <c r="DG114" s="226" t="str">
        <f t="shared" si="134"/>
        <v xml:space="preserve"> </v>
      </c>
      <c r="DH114" s="312">
        <v>7957</v>
      </c>
      <c r="DI114" s="286">
        <f>DC114*Wirtschaftlichkeit!$Q$5/Wirtschaftlichkeit!$Q$7</f>
        <v>0</v>
      </c>
      <c r="DJ114" s="284">
        <f t="shared" si="97"/>
        <v>0</v>
      </c>
      <c r="DL114" s="222">
        <v>7957</v>
      </c>
      <c r="DM114" s="225" t="str">
        <f>IF($C114&gt;=Wirtschaftlichkeit!$R$8,Wirtschaftlichkeit!$R$8,IF(AND($C114&lt;=Wirtschaftlichkeit!$R$8,$C114&gt;=Wirtschaftlichkeit!$R$8*Eingabemaske!$B$18),$C114,"0"))</f>
        <v>0</v>
      </c>
      <c r="DN114" s="222">
        <v>7957</v>
      </c>
      <c r="DO114" s="224">
        <f t="shared" si="98"/>
        <v>0</v>
      </c>
      <c r="DP114" s="222">
        <v>7957</v>
      </c>
      <c r="DQ114" s="226" t="str">
        <f t="shared" si="135"/>
        <v xml:space="preserve"> </v>
      </c>
      <c r="DR114" s="312">
        <v>7957</v>
      </c>
      <c r="DS114" s="286">
        <f>DM114*Wirtschaftlichkeit!$R$5/Wirtschaftlichkeit!$R$7</f>
        <v>0</v>
      </c>
      <c r="DT114" s="284">
        <f t="shared" si="100"/>
        <v>0</v>
      </c>
      <c r="DV114" s="222">
        <v>7957</v>
      </c>
      <c r="DW114" s="225" t="str">
        <f>IF($C114&gt;=Wirtschaftlichkeit!$S$8,Wirtschaftlichkeit!$S$8,IF(AND($C114&lt;=Wirtschaftlichkeit!$S$8,$C114&gt;=Wirtschaftlichkeit!$S$8*Eingabemaske!$B$18),$C114,"0"))</f>
        <v>0</v>
      </c>
      <c r="DX114" s="222">
        <v>7957</v>
      </c>
      <c r="DY114" s="224">
        <f t="shared" si="101"/>
        <v>0</v>
      </c>
      <c r="DZ114" s="222">
        <v>7957</v>
      </c>
      <c r="EA114" s="226" t="str">
        <f t="shared" si="136"/>
        <v xml:space="preserve"> </v>
      </c>
      <c r="EB114" s="312">
        <v>7957</v>
      </c>
      <c r="EC114" s="286">
        <f>DW114*Wirtschaftlichkeit!$S$5/Wirtschaftlichkeit!$S$7</f>
        <v>0</v>
      </c>
      <c r="ED114" s="284">
        <f t="shared" si="103"/>
        <v>0</v>
      </c>
      <c r="EF114" s="222">
        <v>7957</v>
      </c>
      <c r="EG114" s="225" t="str">
        <f>IF($C114&gt;=Wirtschaftlichkeit!$T$8,Wirtschaftlichkeit!$T$8,IF(AND($C114&lt;=Wirtschaftlichkeit!$T$8,$C114&gt;=Wirtschaftlichkeit!$T$8*Eingabemaske!$B$18),$C114,"0"))</f>
        <v>0</v>
      </c>
      <c r="EH114" s="222">
        <v>7957</v>
      </c>
      <c r="EI114" s="224">
        <f t="shared" si="104"/>
        <v>0</v>
      </c>
      <c r="EJ114" s="222">
        <v>7957</v>
      </c>
      <c r="EK114" s="226" t="str">
        <f t="shared" si="137"/>
        <v xml:space="preserve"> </v>
      </c>
      <c r="EL114" s="312">
        <v>7957</v>
      </c>
      <c r="EM114" s="286">
        <f>EG114*Wirtschaftlichkeit!$T$5/Wirtschaftlichkeit!$T$7</f>
        <v>0</v>
      </c>
      <c r="EN114" s="284">
        <f t="shared" si="106"/>
        <v>0</v>
      </c>
      <c r="EP114" s="222">
        <v>7957</v>
      </c>
      <c r="EQ114" s="225" t="str">
        <f>IF($C114&gt;=Wirtschaftlichkeit!$U$8,Wirtschaftlichkeit!$U$8,IF(AND($C114&lt;=Wirtschaftlichkeit!$U$8,$C114&gt;=Wirtschaftlichkeit!$U$8*Eingabemaske!$B$18),$C114,"0"))</f>
        <v>0</v>
      </c>
      <c r="ER114" s="222">
        <v>7957</v>
      </c>
      <c r="ES114" s="224">
        <f t="shared" si="107"/>
        <v>0</v>
      </c>
      <c r="ET114" s="222">
        <v>7957</v>
      </c>
      <c r="EU114" s="226" t="str">
        <f t="shared" si="138"/>
        <v xml:space="preserve"> </v>
      </c>
      <c r="EV114" s="312">
        <v>7957</v>
      </c>
      <c r="EW114" s="286">
        <f>EQ114*Wirtschaftlichkeit!$U$5/Wirtschaftlichkeit!$U$7</f>
        <v>0</v>
      </c>
      <c r="EX114" s="284">
        <f t="shared" si="109"/>
        <v>0</v>
      </c>
      <c r="EZ114" s="222">
        <v>7957</v>
      </c>
      <c r="FA114" s="225" t="str">
        <f>IF($C114&gt;=Wirtschaftlichkeit!$V$8,Wirtschaftlichkeit!$V$8,IF(AND($C114&lt;=Wirtschaftlichkeit!$V$8,$C114&gt;=Wirtschaftlichkeit!$V$8*Eingabemaske!$B$18),$C114,"0"))</f>
        <v>0</v>
      </c>
      <c r="FB114" s="222">
        <v>7957</v>
      </c>
      <c r="FC114" s="224">
        <f t="shared" si="110"/>
        <v>0</v>
      </c>
      <c r="FD114" s="222">
        <v>7957</v>
      </c>
      <c r="FE114" s="226" t="str">
        <f t="shared" si="139"/>
        <v xml:space="preserve"> </v>
      </c>
      <c r="FF114" s="312">
        <v>7957</v>
      </c>
      <c r="FG114" s="286">
        <f>FA114*Wirtschaftlichkeit!$V$5/Wirtschaftlichkeit!$V$7</f>
        <v>0</v>
      </c>
      <c r="FH114" s="284">
        <f t="shared" si="112"/>
        <v>0</v>
      </c>
      <c r="FJ114" s="222">
        <v>7957</v>
      </c>
      <c r="FK114" s="225" t="str">
        <f>IF($C114&gt;=Wirtschaftlichkeit!$W$8,Wirtschaftlichkeit!$W$8,IF(AND($C114&lt;=Wirtschaftlichkeit!$W$8,$C114&gt;=Wirtschaftlichkeit!$W$8*Eingabemaske!$B$18),$C114,"0"))</f>
        <v>0</v>
      </c>
      <c r="FL114" s="222">
        <v>7957</v>
      </c>
      <c r="FM114" s="224">
        <f t="shared" si="113"/>
        <v>0</v>
      </c>
      <c r="FN114" s="222">
        <v>7957</v>
      </c>
      <c r="FO114" s="226" t="str">
        <f t="shared" si="140"/>
        <v xml:space="preserve"> </v>
      </c>
      <c r="FP114" s="312">
        <v>7957</v>
      </c>
      <c r="FQ114" s="286">
        <f>FK114*Wirtschaftlichkeit!$W$5/Wirtschaftlichkeit!$W$7</f>
        <v>0</v>
      </c>
      <c r="FR114" s="284">
        <f t="shared" si="115"/>
        <v>0</v>
      </c>
      <c r="FT114" s="222">
        <v>7957</v>
      </c>
      <c r="FU114" s="225" t="str">
        <f>IF($C114&gt;=Wirtschaftlichkeit!$X$8,Wirtschaftlichkeit!$X$8,IF(AND($C114&lt;=Wirtschaftlichkeit!$X$8,$C114&gt;=Wirtschaftlichkeit!$X$8*Eingabemaske!$B$18),$C114,"0"))</f>
        <v>0</v>
      </c>
      <c r="FV114" s="222">
        <v>7957</v>
      </c>
      <c r="FW114" s="224">
        <f t="shared" si="116"/>
        <v>0</v>
      </c>
      <c r="FX114" s="222">
        <v>7957</v>
      </c>
      <c r="FY114" s="226" t="str">
        <f t="shared" si="141"/>
        <v xml:space="preserve"> </v>
      </c>
      <c r="FZ114" s="312">
        <v>7957</v>
      </c>
      <c r="GA114" s="286">
        <f>FU114*Wirtschaftlichkeit!$X$5/Wirtschaftlichkeit!$X$7</f>
        <v>0</v>
      </c>
      <c r="GB114" s="284">
        <f t="shared" si="118"/>
        <v>0</v>
      </c>
      <c r="GD114" s="222">
        <v>7957</v>
      </c>
      <c r="GE114" s="225" t="str">
        <f>IF($C114&gt;=Wirtschaftlichkeit!$Y$8,Wirtschaftlichkeit!$Y$8,IF(AND($C114&lt;=Wirtschaftlichkeit!$Y$8,$C114&gt;=Wirtschaftlichkeit!$Y$8*Eingabemaske!$B$18),$C114,"0"))</f>
        <v>0</v>
      </c>
      <c r="GF114" s="222">
        <v>7957</v>
      </c>
      <c r="GG114" s="224">
        <f t="shared" si="119"/>
        <v>0</v>
      </c>
      <c r="GH114" s="222">
        <v>7957</v>
      </c>
      <c r="GI114" s="226" t="str">
        <f t="shared" si="142"/>
        <v xml:space="preserve"> </v>
      </c>
      <c r="GJ114" s="312">
        <v>7957</v>
      </c>
      <c r="GK114" s="286">
        <f>GE114*Wirtschaftlichkeit!$Y$5/Wirtschaftlichkeit!$Y$7</f>
        <v>0</v>
      </c>
      <c r="GL114" s="284">
        <f t="shared" si="121"/>
        <v>0</v>
      </c>
      <c r="GN114" s="222">
        <v>7957</v>
      </c>
      <c r="GO114" s="225" t="str">
        <f>IF($C114&gt;=Wirtschaftlichkeit!$Z$8,Wirtschaftlichkeit!$Z$8,IF(AND($C114&lt;=Wirtschaftlichkeit!$Z$8,$C114&gt;=Wirtschaftlichkeit!$Z$8*Eingabemaske!$B$18),$C114,"0"))</f>
        <v>0</v>
      </c>
      <c r="GP114" s="222">
        <v>7957</v>
      </c>
      <c r="GQ114" s="224">
        <f t="shared" si="122"/>
        <v>0</v>
      </c>
      <c r="GR114" s="222">
        <v>7957</v>
      </c>
      <c r="GS114" s="226" t="str">
        <f t="shared" si="143"/>
        <v xml:space="preserve"> </v>
      </c>
      <c r="GT114" s="312">
        <v>7957</v>
      </c>
      <c r="GU114" s="286">
        <f>GO114*Wirtschaftlichkeit!$Z$5/Wirtschaftlichkeit!$Z$7</f>
        <v>0</v>
      </c>
      <c r="GV114" s="284">
        <f t="shared" si="124"/>
        <v>0</v>
      </c>
      <c r="GW114" s="266"/>
      <c r="GX114" s="258">
        <v>7957</v>
      </c>
      <c r="GY114" s="270" t="str">
        <f>IF(Berechnung_Diagramme!$C$28=Berechnungen_Lastgang!$F$2,Berechnungen_Lastgang!G114,IF(Berechnung_Diagramme!$C$28=Berechnungen_Lastgang!$P$2,Berechnungen_Lastgang!Q114,IF(Berechnung_Diagramme!$C$28=Berechnungen_Lastgang!$Z$2,Berechnungen_Lastgang!AA114,IF(Berechnung_Diagramme!$C$28=Berechnungen_Lastgang!$AJ$2,Berechnungen_Lastgang!AK114,IF(Berechnung_Diagramme!$C$28=Berechnungen_Lastgang!$AT$2,Berechnungen_Lastgang!AU114,IF(Berechnung_Diagramme!$C$28=Berechnungen_Lastgang!$BD$2,Berechnungen_Lastgang!BE114,IF(Berechnung_Diagramme!$C$28=Berechnungen_Lastgang!$BN$2,Berechnungen_Lastgang!BO114,IF(Berechnung_Diagramme!$C$28=Berechnungen_Lastgang!$BX$2,Berechnungen_Lastgang!BY114,IF(Berechnung_Diagramme!$C$28=Berechnungen_Lastgang!$CH$2,Berechnungen_Lastgang!CI114,IF(Berechnung_Diagramme!$C$28=Berechnungen_Lastgang!$CR$2,Berechnungen_Lastgang!CS114,IF(Berechnung_Diagramme!$C$28=Berechnungen_Lastgang!$DB$2,Berechnungen_Lastgang!DC114,IF(Berechnung_Diagramme!$C$28=Berechnungen_Lastgang!$DL$2,Berechnungen_Lastgang!DM114,IF(Berechnung_Diagramme!$C$28=Berechnungen_Lastgang!$DV$2,Berechnungen_Lastgang!DW114,IF(Berechnung_Diagramme!$C$28=Berechnungen_Lastgang!$EF$2,Berechnungen_Lastgang!EG114,IF(Berechnung_Diagramme!$C$28=Berechnungen_Lastgang!$EP$2,Berechnungen_Lastgang!EQ114,IF(Berechnung_Diagramme!$C$28=Berechnungen_Lastgang!$EZ$2,Berechnungen_Lastgang!FA114,IF(Berechnung_Diagramme!$C$28=Berechnungen_Lastgang!$FJ$2,Berechnungen_Lastgang!FK114,IF(Berechnung_Diagramme!$C$28=Berechnungen_Lastgang!$FT$2,Berechnungen_Lastgang!FU114,IF(Berechnung_Diagramme!$C$28=Berechnungen_Lastgang!$GD$2,Berechnungen_Lastgang!GE114,IF(Berechnung_Diagramme!$C$28=Berechnungen_Lastgang!$GN$2,Berechnungen_Lastgang!GO114,""))))))))))))))))))))</f>
        <v>0</v>
      </c>
    </row>
    <row r="115" spans="2:207" x14ac:dyDescent="0.25">
      <c r="B115" s="64">
        <v>8030</v>
      </c>
      <c r="C115" s="67">
        <f>LARGE(Berechnung_Diagramme!$AB$5:$AB$16,12)</f>
        <v>2.0699999999999998</v>
      </c>
      <c r="D115" s="66">
        <f t="shared" si="144"/>
        <v>143.55449999999999</v>
      </c>
      <c r="F115" s="64">
        <v>8030</v>
      </c>
      <c r="G115" s="225">
        <f>IF($C115&gt;=Wirtschaftlichkeit!$G$8,Wirtschaftlichkeit!$G$8,IF(AND($C115&lt;=Wirtschaftlichkeit!$G$8,$C115&gt;=Wirtschaftlichkeit!$G$8*Eingabemaske!$B$18),$C115,"0"))</f>
        <v>2.0699999999999998</v>
      </c>
      <c r="H115" s="64">
        <v>8030</v>
      </c>
      <c r="I115" s="66">
        <f t="shared" si="145"/>
        <v>143.55449999999999</v>
      </c>
      <c r="J115" s="64">
        <v>8030</v>
      </c>
      <c r="K115" s="71">
        <f t="shared" si="146"/>
        <v>2.0699999999999998</v>
      </c>
      <c r="L115" s="312">
        <v>8030</v>
      </c>
      <c r="M115" s="286">
        <f>G115*Wirtschaftlichkeit!$G$5/Wirtschaftlichkeit!$G$7</f>
        <v>0.73058823529411754</v>
      </c>
      <c r="N115" s="284">
        <f t="shared" si="67"/>
        <v>50.666294117647048</v>
      </c>
      <c r="P115" s="222">
        <v>8030</v>
      </c>
      <c r="Q115" s="225" t="str">
        <f>IF($C115&gt;=Wirtschaftlichkeit!$H$8,Wirtschaftlichkeit!$H$8,IF(AND($C115&lt;=Wirtschaftlichkeit!$H$8,$C115&gt;=Wirtschaftlichkeit!$H$8*Eingabemaske!$B$18),$C115,"0"))</f>
        <v>0</v>
      </c>
      <c r="R115" s="222">
        <v>8030</v>
      </c>
      <c r="S115" s="224">
        <f t="shared" si="68"/>
        <v>0</v>
      </c>
      <c r="T115" s="222">
        <v>8030</v>
      </c>
      <c r="U115" s="226" t="str">
        <f t="shared" si="125"/>
        <v xml:space="preserve"> </v>
      </c>
      <c r="V115" s="312">
        <v>8030</v>
      </c>
      <c r="W115" s="286">
        <f>Q115*Wirtschaftlichkeit!$H$5/Wirtschaftlichkeit!$H$7</f>
        <v>0</v>
      </c>
      <c r="X115" s="284">
        <f t="shared" si="70"/>
        <v>0</v>
      </c>
      <c r="Z115" s="222">
        <v>8030</v>
      </c>
      <c r="AA115" s="225" t="str">
        <f>IF($C115&gt;=Wirtschaftlichkeit!$I$8,Wirtschaftlichkeit!$I$8,IF(AND($C115&lt;=Wirtschaftlichkeit!$I$8,$C115&gt;=Wirtschaftlichkeit!$I$8*Eingabemaske!$B$18),$C115,"0"))</f>
        <v>0</v>
      </c>
      <c r="AB115" s="222">
        <v>8030</v>
      </c>
      <c r="AC115" s="224">
        <f t="shared" si="71"/>
        <v>0</v>
      </c>
      <c r="AD115" s="222">
        <v>8030</v>
      </c>
      <c r="AE115" s="226" t="str">
        <f t="shared" si="126"/>
        <v xml:space="preserve"> </v>
      </c>
      <c r="AF115" s="312">
        <v>8030</v>
      </c>
      <c r="AG115" s="286">
        <f>AA115*Wirtschaftlichkeit!$I$5/Wirtschaftlichkeit!$I$7</f>
        <v>0</v>
      </c>
      <c r="AH115" s="284">
        <f t="shared" si="73"/>
        <v>0</v>
      </c>
      <c r="AJ115" s="222">
        <v>8030</v>
      </c>
      <c r="AK115" s="225" t="str">
        <f>IF($C115&gt;=Wirtschaftlichkeit!$J$8,Wirtschaftlichkeit!$J$8,IF(AND($C115&lt;=Wirtschaftlichkeit!$J$8,$C115&gt;=Wirtschaftlichkeit!$J$8*Eingabemaske!$B$18),$C115,"0"))</f>
        <v>0</v>
      </c>
      <c r="AL115" s="222">
        <v>8030</v>
      </c>
      <c r="AM115" s="224">
        <f t="shared" si="74"/>
        <v>0</v>
      </c>
      <c r="AN115" s="222">
        <v>8030</v>
      </c>
      <c r="AO115" s="226" t="str">
        <f t="shared" si="127"/>
        <v xml:space="preserve"> </v>
      </c>
      <c r="AP115" s="312">
        <v>8030</v>
      </c>
      <c r="AQ115" s="286">
        <f>AK115*Wirtschaftlichkeit!$J$5/Wirtschaftlichkeit!$J$7</f>
        <v>0</v>
      </c>
      <c r="AR115" s="284">
        <f t="shared" si="76"/>
        <v>0</v>
      </c>
      <c r="AT115" s="222">
        <v>8030</v>
      </c>
      <c r="AU115" s="225" t="str">
        <f>IF($C115&gt;=Wirtschaftlichkeit!$K$8,Wirtschaftlichkeit!$K$8,IF(AND($C115&lt;=Wirtschaftlichkeit!$K$8,$C115&gt;=Wirtschaftlichkeit!$K$8*Eingabemaske!$B$18),$C115,"0"))</f>
        <v>0</v>
      </c>
      <c r="AV115" s="222">
        <v>8030</v>
      </c>
      <c r="AW115" s="224">
        <f t="shared" si="77"/>
        <v>0</v>
      </c>
      <c r="AX115" s="222">
        <v>8030</v>
      </c>
      <c r="AY115" s="226" t="str">
        <f t="shared" si="128"/>
        <v xml:space="preserve"> </v>
      </c>
      <c r="AZ115" s="312">
        <v>8030</v>
      </c>
      <c r="BA115" s="286">
        <f>AU115*Wirtschaftlichkeit!$K$5/Wirtschaftlichkeit!$K$7</f>
        <v>0</v>
      </c>
      <c r="BB115" s="284">
        <f t="shared" si="79"/>
        <v>0</v>
      </c>
      <c r="BD115" s="222">
        <v>8030</v>
      </c>
      <c r="BE115" s="225" t="str">
        <f>IF($C115&gt;=Wirtschaftlichkeit!$L$8,Wirtschaftlichkeit!$L$8,IF(AND($C115&lt;=Wirtschaftlichkeit!$L$8,$C115&gt;=Wirtschaftlichkeit!$L$8*Eingabemaske!$B$18),$C115,"0"))</f>
        <v>0</v>
      </c>
      <c r="BF115" s="222">
        <v>8030</v>
      </c>
      <c r="BG115" s="224">
        <f t="shared" si="80"/>
        <v>0</v>
      </c>
      <c r="BH115" s="222">
        <v>8030</v>
      </c>
      <c r="BI115" s="226" t="str">
        <f t="shared" si="129"/>
        <v xml:space="preserve"> </v>
      </c>
      <c r="BJ115" s="312">
        <v>8030</v>
      </c>
      <c r="BK115" s="286">
        <f>BE115*Wirtschaftlichkeit!$L$5/Wirtschaftlichkeit!$L$7</f>
        <v>0</v>
      </c>
      <c r="BL115" s="284">
        <f t="shared" si="82"/>
        <v>0</v>
      </c>
      <c r="BN115" s="222">
        <v>8030</v>
      </c>
      <c r="BO115" s="225" t="str">
        <f>IF($C115&gt;=Wirtschaftlichkeit!$M$8,Wirtschaftlichkeit!$M$8,IF(AND($C115&lt;=Wirtschaftlichkeit!$M$8,$C115&gt;=Wirtschaftlichkeit!$M$8*Eingabemaske!$B$18),$C115,"0"))</f>
        <v>0</v>
      </c>
      <c r="BP115" s="222">
        <v>8030</v>
      </c>
      <c r="BQ115" s="224">
        <f t="shared" si="83"/>
        <v>0</v>
      </c>
      <c r="BR115" s="222">
        <v>8030</v>
      </c>
      <c r="BS115" s="226" t="str">
        <f t="shared" si="130"/>
        <v xml:space="preserve"> </v>
      </c>
      <c r="BT115" s="312">
        <v>8030</v>
      </c>
      <c r="BU115" s="286">
        <f>BO115*Wirtschaftlichkeit!$M$5/Wirtschaftlichkeit!$M$7</f>
        <v>0</v>
      </c>
      <c r="BV115" s="284">
        <f t="shared" si="85"/>
        <v>0</v>
      </c>
      <c r="BX115" s="222">
        <v>8030</v>
      </c>
      <c r="BY115" s="225" t="str">
        <f>IF($C115&gt;=Wirtschaftlichkeit!$N$8,Wirtschaftlichkeit!$N$8,IF(AND($C115&lt;=Wirtschaftlichkeit!$N$8,$C115&gt;=Wirtschaftlichkeit!$N$8*Eingabemaske!$B$18),$C115,"0"))</f>
        <v>0</v>
      </c>
      <c r="BZ115" s="222">
        <v>8030</v>
      </c>
      <c r="CA115" s="224">
        <f t="shared" si="86"/>
        <v>0</v>
      </c>
      <c r="CB115" s="222">
        <v>8030</v>
      </c>
      <c r="CC115" s="226" t="str">
        <f t="shared" si="131"/>
        <v xml:space="preserve"> </v>
      </c>
      <c r="CD115" s="312">
        <v>8030</v>
      </c>
      <c r="CE115" s="286">
        <f>BY115*Wirtschaftlichkeit!$N$5/Wirtschaftlichkeit!$N$7</f>
        <v>0</v>
      </c>
      <c r="CF115" s="284">
        <f t="shared" si="88"/>
        <v>0</v>
      </c>
      <c r="CH115" s="222">
        <v>8030</v>
      </c>
      <c r="CI115" s="225" t="str">
        <f>IF($C115&gt;=Wirtschaftlichkeit!$O$8,Wirtschaftlichkeit!$O$8,IF(AND($C115&lt;=Wirtschaftlichkeit!$O$8,$C115&gt;=Wirtschaftlichkeit!$O$8*Eingabemaske!$B$18),$C115,"0"))</f>
        <v>0</v>
      </c>
      <c r="CJ115" s="222">
        <v>8030</v>
      </c>
      <c r="CK115" s="224">
        <f t="shared" si="89"/>
        <v>0</v>
      </c>
      <c r="CL115" s="222">
        <v>8030</v>
      </c>
      <c r="CM115" s="226" t="str">
        <f t="shared" si="132"/>
        <v xml:space="preserve"> </v>
      </c>
      <c r="CN115" s="312">
        <v>8030</v>
      </c>
      <c r="CO115" s="286">
        <f>CI115*Wirtschaftlichkeit!$O$5/Wirtschaftlichkeit!$O$7</f>
        <v>0</v>
      </c>
      <c r="CP115" s="284">
        <f t="shared" si="91"/>
        <v>0</v>
      </c>
      <c r="CR115" s="222">
        <v>8030</v>
      </c>
      <c r="CS115" s="225" t="str">
        <f>IF($C115&gt;=Wirtschaftlichkeit!$P$8,Wirtschaftlichkeit!$P$8,IF(AND($C115&lt;=Wirtschaftlichkeit!$P$8,$C115&gt;=Wirtschaftlichkeit!$P$8*Eingabemaske!$B$18),$C115,"0"))</f>
        <v>0</v>
      </c>
      <c r="CT115" s="222">
        <v>8030</v>
      </c>
      <c r="CU115" s="224">
        <f t="shared" si="92"/>
        <v>0</v>
      </c>
      <c r="CV115" s="222">
        <v>8030</v>
      </c>
      <c r="CW115" s="226" t="str">
        <f t="shared" si="133"/>
        <v xml:space="preserve"> </v>
      </c>
      <c r="CX115" s="312">
        <v>8030</v>
      </c>
      <c r="CY115" s="286">
        <f>CS115*Wirtschaftlichkeit!$P$5/Wirtschaftlichkeit!$P$7</f>
        <v>0</v>
      </c>
      <c r="CZ115" s="284">
        <f t="shared" si="94"/>
        <v>0</v>
      </c>
      <c r="DB115" s="222">
        <v>8030</v>
      </c>
      <c r="DC115" s="225" t="str">
        <f>IF($C115&gt;=Wirtschaftlichkeit!$Q$8,Wirtschaftlichkeit!$Q$8,IF(AND($C115&lt;=Wirtschaftlichkeit!$Q$8,$C115&gt;=Wirtschaftlichkeit!$Q$8*Eingabemaske!$B$18),$C115,"0"))</f>
        <v>0</v>
      </c>
      <c r="DD115" s="222">
        <v>8030</v>
      </c>
      <c r="DE115" s="224">
        <f t="shared" si="95"/>
        <v>0</v>
      </c>
      <c r="DF115" s="222">
        <v>8030</v>
      </c>
      <c r="DG115" s="226" t="str">
        <f t="shared" si="134"/>
        <v xml:space="preserve"> </v>
      </c>
      <c r="DH115" s="312">
        <v>8030</v>
      </c>
      <c r="DI115" s="286">
        <f>DC115*Wirtschaftlichkeit!$Q$5/Wirtschaftlichkeit!$Q$7</f>
        <v>0</v>
      </c>
      <c r="DJ115" s="284">
        <f t="shared" si="97"/>
        <v>0</v>
      </c>
      <c r="DL115" s="222">
        <v>8030</v>
      </c>
      <c r="DM115" s="225" t="str">
        <f>IF($C115&gt;=Wirtschaftlichkeit!$R$8,Wirtschaftlichkeit!$R$8,IF(AND($C115&lt;=Wirtschaftlichkeit!$R$8,$C115&gt;=Wirtschaftlichkeit!$R$8*Eingabemaske!$B$18),$C115,"0"))</f>
        <v>0</v>
      </c>
      <c r="DN115" s="222">
        <v>8030</v>
      </c>
      <c r="DO115" s="224">
        <f t="shared" si="98"/>
        <v>0</v>
      </c>
      <c r="DP115" s="222">
        <v>8030</v>
      </c>
      <c r="DQ115" s="226" t="str">
        <f t="shared" si="135"/>
        <v xml:space="preserve"> </v>
      </c>
      <c r="DR115" s="312">
        <v>8030</v>
      </c>
      <c r="DS115" s="286">
        <f>DM115*Wirtschaftlichkeit!$R$5/Wirtschaftlichkeit!$R$7</f>
        <v>0</v>
      </c>
      <c r="DT115" s="284">
        <f t="shared" si="100"/>
        <v>0</v>
      </c>
      <c r="DV115" s="222">
        <v>8030</v>
      </c>
      <c r="DW115" s="225" t="str">
        <f>IF($C115&gt;=Wirtschaftlichkeit!$S$8,Wirtschaftlichkeit!$S$8,IF(AND($C115&lt;=Wirtschaftlichkeit!$S$8,$C115&gt;=Wirtschaftlichkeit!$S$8*Eingabemaske!$B$18),$C115,"0"))</f>
        <v>0</v>
      </c>
      <c r="DX115" s="222">
        <v>8030</v>
      </c>
      <c r="DY115" s="224">
        <f t="shared" si="101"/>
        <v>0</v>
      </c>
      <c r="DZ115" s="222">
        <v>8030</v>
      </c>
      <c r="EA115" s="226" t="str">
        <f t="shared" si="136"/>
        <v xml:space="preserve"> </v>
      </c>
      <c r="EB115" s="312">
        <v>8030</v>
      </c>
      <c r="EC115" s="286">
        <f>DW115*Wirtschaftlichkeit!$S$5/Wirtschaftlichkeit!$S$7</f>
        <v>0</v>
      </c>
      <c r="ED115" s="284">
        <f t="shared" si="103"/>
        <v>0</v>
      </c>
      <c r="EF115" s="222">
        <v>8030</v>
      </c>
      <c r="EG115" s="225" t="str">
        <f>IF($C115&gt;=Wirtschaftlichkeit!$T$8,Wirtschaftlichkeit!$T$8,IF(AND($C115&lt;=Wirtschaftlichkeit!$T$8,$C115&gt;=Wirtschaftlichkeit!$T$8*Eingabemaske!$B$18),$C115,"0"))</f>
        <v>0</v>
      </c>
      <c r="EH115" s="222">
        <v>8030</v>
      </c>
      <c r="EI115" s="224">
        <f t="shared" si="104"/>
        <v>0</v>
      </c>
      <c r="EJ115" s="222">
        <v>8030</v>
      </c>
      <c r="EK115" s="226" t="str">
        <f t="shared" si="137"/>
        <v xml:space="preserve"> </v>
      </c>
      <c r="EL115" s="312">
        <v>8030</v>
      </c>
      <c r="EM115" s="286">
        <f>EG115*Wirtschaftlichkeit!$T$5/Wirtschaftlichkeit!$T$7</f>
        <v>0</v>
      </c>
      <c r="EN115" s="284">
        <f t="shared" si="106"/>
        <v>0</v>
      </c>
      <c r="EP115" s="222">
        <v>8030</v>
      </c>
      <c r="EQ115" s="225" t="str">
        <f>IF($C115&gt;=Wirtschaftlichkeit!$U$8,Wirtschaftlichkeit!$U$8,IF(AND($C115&lt;=Wirtschaftlichkeit!$U$8,$C115&gt;=Wirtschaftlichkeit!$U$8*Eingabemaske!$B$18),$C115,"0"))</f>
        <v>0</v>
      </c>
      <c r="ER115" s="222">
        <v>8030</v>
      </c>
      <c r="ES115" s="224">
        <f t="shared" si="107"/>
        <v>0</v>
      </c>
      <c r="ET115" s="222">
        <v>8030</v>
      </c>
      <c r="EU115" s="226" t="str">
        <f t="shared" si="138"/>
        <v xml:space="preserve"> </v>
      </c>
      <c r="EV115" s="312">
        <v>8030</v>
      </c>
      <c r="EW115" s="286">
        <f>EQ115*Wirtschaftlichkeit!$U$5/Wirtschaftlichkeit!$U$7</f>
        <v>0</v>
      </c>
      <c r="EX115" s="284">
        <f t="shared" si="109"/>
        <v>0</v>
      </c>
      <c r="EZ115" s="222">
        <v>8030</v>
      </c>
      <c r="FA115" s="225" t="str">
        <f>IF($C115&gt;=Wirtschaftlichkeit!$V$8,Wirtschaftlichkeit!$V$8,IF(AND($C115&lt;=Wirtschaftlichkeit!$V$8,$C115&gt;=Wirtschaftlichkeit!$V$8*Eingabemaske!$B$18),$C115,"0"))</f>
        <v>0</v>
      </c>
      <c r="FB115" s="222">
        <v>8030</v>
      </c>
      <c r="FC115" s="224">
        <f t="shared" si="110"/>
        <v>0</v>
      </c>
      <c r="FD115" s="222">
        <v>8030</v>
      </c>
      <c r="FE115" s="226" t="str">
        <f t="shared" si="139"/>
        <v xml:space="preserve"> </v>
      </c>
      <c r="FF115" s="312">
        <v>8030</v>
      </c>
      <c r="FG115" s="286">
        <f>FA115*Wirtschaftlichkeit!$V$5/Wirtschaftlichkeit!$V$7</f>
        <v>0</v>
      </c>
      <c r="FH115" s="284">
        <f t="shared" si="112"/>
        <v>0</v>
      </c>
      <c r="FJ115" s="222">
        <v>8030</v>
      </c>
      <c r="FK115" s="225" t="str">
        <f>IF($C115&gt;=Wirtschaftlichkeit!$W$8,Wirtschaftlichkeit!$W$8,IF(AND($C115&lt;=Wirtschaftlichkeit!$W$8,$C115&gt;=Wirtschaftlichkeit!$W$8*Eingabemaske!$B$18),$C115,"0"))</f>
        <v>0</v>
      </c>
      <c r="FL115" s="222">
        <v>8030</v>
      </c>
      <c r="FM115" s="224">
        <f t="shared" si="113"/>
        <v>0</v>
      </c>
      <c r="FN115" s="222">
        <v>8030</v>
      </c>
      <c r="FO115" s="226" t="str">
        <f t="shared" si="140"/>
        <v xml:space="preserve"> </v>
      </c>
      <c r="FP115" s="312">
        <v>8030</v>
      </c>
      <c r="FQ115" s="286">
        <f>FK115*Wirtschaftlichkeit!$W$5/Wirtschaftlichkeit!$W$7</f>
        <v>0</v>
      </c>
      <c r="FR115" s="284">
        <f t="shared" si="115"/>
        <v>0</v>
      </c>
      <c r="FT115" s="222">
        <v>8030</v>
      </c>
      <c r="FU115" s="225" t="str">
        <f>IF($C115&gt;=Wirtschaftlichkeit!$X$8,Wirtschaftlichkeit!$X$8,IF(AND($C115&lt;=Wirtschaftlichkeit!$X$8,$C115&gt;=Wirtschaftlichkeit!$X$8*Eingabemaske!$B$18),$C115,"0"))</f>
        <v>0</v>
      </c>
      <c r="FV115" s="222">
        <v>8030</v>
      </c>
      <c r="FW115" s="224">
        <f t="shared" si="116"/>
        <v>0</v>
      </c>
      <c r="FX115" s="222">
        <v>8030</v>
      </c>
      <c r="FY115" s="226" t="str">
        <f t="shared" si="141"/>
        <v xml:space="preserve"> </v>
      </c>
      <c r="FZ115" s="312">
        <v>8030</v>
      </c>
      <c r="GA115" s="286">
        <f>FU115*Wirtschaftlichkeit!$X$5/Wirtschaftlichkeit!$X$7</f>
        <v>0</v>
      </c>
      <c r="GB115" s="284">
        <f t="shared" si="118"/>
        <v>0</v>
      </c>
      <c r="GD115" s="222">
        <v>8030</v>
      </c>
      <c r="GE115" s="225" t="str">
        <f>IF($C115&gt;=Wirtschaftlichkeit!$Y$8,Wirtschaftlichkeit!$Y$8,IF(AND($C115&lt;=Wirtschaftlichkeit!$Y$8,$C115&gt;=Wirtschaftlichkeit!$Y$8*Eingabemaske!$B$18),$C115,"0"))</f>
        <v>0</v>
      </c>
      <c r="GF115" s="222">
        <v>8030</v>
      </c>
      <c r="GG115" s="224">
        <f t="shared" si="119"/>
        <v>0</v>
      </c>
      <c r="GH115" s="222">
        <v>8030</v>
      </c>
      <c r="GI115" s="226" t="str">
        <f t="shared" si="142"/>
        <v xml:space="preserve"> </v>
      </c>
      <c r="GJ115" s="312">
        <v>8030</v>
      </c>
      <c r="GK115" s="286">
        <f>GE115*Wirtschaftlichkeit!$Y$5/Wirtschaftlichkeit!$Y$7</f>
        <v>0</v>
      </c>
      <c r="GL115" s="284">
        <f t="shared" si="121"/>
        <v>0</v>
      </c>
      <c r="GN115" s="222">
        <v>8030</v>
      </c>
      <c r="GO115" s="225" t="str">
        <f>IF($C115&gt;=Wirtschaftlichkeit!$Z$8,Wirtschaftlichkeit!$Z$8,IF(AND($C115&lt;=Wirtschaftlichkeit!$Z$8,$C115&gt;=Wirtschaftlichkeit!$Z$8*Eingabemaske!$B$18),$C115,"0"))</f>
        <v>0</v>
      </c>
      <c r="GP115" s="222">
        <v>8030</v>
      </c>
      <c r="GQ115" s="224">
        <f t="shared" si="122"/>
        <v>0</v>
      </c>
      <c r="GR115" s="222">
        <v>8030</v>
      </c>
      <c r="GS115" s="226" t="str">
        <f t="shared" si="143"/>
        <v xml:space="preserve"> </v>
      </c>
      <c r="GT115" s="312">
        <v>8030</v>
      </c>
      <c r="GU115" s="286">
        <f>GO115*Wirtschaftlichkeit!$Z$5/Wirtschaftlichkeit!$Z$7</f>
        <v>0</v>
      </c>
      <c r="GV115" s="284">
        <f t="shared" si="124"/>
        <v>0</v>
      </c>
      <c r="GW115" s="266"/>
      <c r="GX115" s="258">
        <v>8030</v>
      </c>
      <c r="GY115" s="270" t="str">
        <f>IF(Berechnung_Diagramme!$C$28=Berechnungen_Lastgang!$F$2,Berechnungen_Lastgang!G115,IF(Berechnung_Diagramme!$C$28=Berechnungen_Lastgang!$P$2,Berechnungen_Lastgang!Q115,IF(Berechnung_Diagramme!$C$28=Berechnungen_Lastgang!$Z$2,Berechnungen_Lastgang!AA115,IF(Berechnung_Diagramme!$C$28=Berechnungen_Lastgang!$AJ$2,Berechnungen_Lastgang!AK115,IF(Berechnung_Diagramme!$C$28=Berechnungen_Lastgang!$AT$2,Berechnungen_Lastgang!AU115,IF(Berechnung_Diagramme!$C$28=Berechnungen_Lastgang!$BD$2,Berechnungen_Lastgang!BE115,IF(Berechnung_Diagramme!$C$28=Berechnungen_Lastgang!$BN$2,Berechnungen_Lastgang!BO115,IF(Berechnung_Diagramme!$C$28=Berechnungen_Lastgang!$BX$2,Berechnungen_Lastgang!BY115,IF(Berechnung_Diagramme!$C$28=Berechnungen_Lastgang!$CH$2,Berechnungen_Lastgang!CI115,IF(Berechnung_Diagramme!$C$28=Berechnungen_Lastgang!$CR$2,Berechnungen_Lastgang!CS115,IF(Berechnung_Diagramme!$C$28=Berechnungen_Lastgang!$DB$2,Berechnungen_Lastgang!DC115,IF(Berechnung_Diagramme!$C$28=Berechnungen_Lastgang!$DL$2,Berechnungen_Lastgang!DM115,IF(Berechnung_Diagramme!$C$28=Berechnungen_Lastgang!$DV$2,Berechnungen_Lastgang!DW115,IF(Berechnung_Diagramme!$C$28=Berechnungen_Lastgang!$EF$2,Berechnungen_Lastgang!EG115,IF(Berechnung_Diagramme!$C$28=Berechnungen_Lastgang!$EP$2,Berechnungen_Lastgang!EQ115,IF(Berechnung_Diagramme!$C$28=Berechnungen_Lastgang!$EZ$2,Berechnungen_Lastgang!FA115,IF(Berechnung_Diagramme!$C$28=Berechnungen_Lastgang!$FJ$2,Berechnungen_Lastgang!FK115,IF(Berechnung_Diagramme!$C$28=Berechnungen_Lastgang!$FT$2,Berechnungen_Lastgang!FU115,IF(Berechnung_Diagramme!$C$28=Berechnungen_Lastgang!$GD$2,Berechnungen_Lastgang!GE115,IF(Berechnung_Diagramme!$C$28=Berechnungen_Lastgang!$GN$2,Berechnungen_Lastgang!GO115,""))))))))))))))))))))</f>
        <v>0</v>
      </c>
    </row>
    <row r="116" spans="2:207" x14ac:dyDescent="0.25">
      <c r="B116" s="64">
        <v>8103</v>
      </c>
      <c r="C116" s="67">
        <f>C115+((C120-C115)/(B120-B115))*(B116-B115)</f>
        <v>1.8629999999999998</v>
      </c>
      <c r="D116" s="66">
        <f t="shared" si="144"/>
        <v>128.44349999999997</v>
      </c>
      <c r="F116" s="64">
        <v>8103</v>
      </c>
      <c r="G116" s="225">
        <f>IF($C116&gt;=Wirtschaftlichkeit!$G$8,Wirtschaftlichkeit!$G$8,IF(AND($C116&lt;=Wirtschaftlichkeit!$G$8,$C116&gt;=Wirtschaftlichkeit!$G$8*Eingabemaske!$B$18),$C116,"0"))</f>
        <v>1.8629999999999998</v>
      </c>
      <c r="H116" s="64">
        <v>8103</v>
      </c>
      <c r="I116" s="66">
        <f t="shared" si="145"/>
        <v>128.44349999999997</v>
      </c>
      <c r="J116" s="64">
        <v>8103</v>
      </c>
      <c r="K116" s="71">
        <f t="shared" si="146"/>
        <v>1.8629999999999998</v>
      </c>
      <c r="L116" s="312">
        <v>8103</v>
      </c>
      <c r="M116" s="286">
        <f>G116*Wirtschaftlichkeit!$G$5/Wirtschaftlichkeit!$G$7</f>
        <v>0.6575294117647057</v>
      </c>
      <c r="N116" s="284">
        <f t="shared" si="67"/>
        <v>45.332999999999984</v>
      </c>
      <c r="P116" s="222">
        <v>8103</v>
      </c>
      <c r="Q116" s="225" t="str">
        <f>IF($C116&gt;=Wirtschaftlichkeit!$H$8,Wirtschaftlichkeit!$H$8,IF(AND($C116&lt;=Wirtschaftlichkeit!$H$8,$C116&gt;=Wirtschaftlichkeit!$H$8*Eingabemaske!$B$18),$C116,"0"))</f>
        <v>0</v>
      </c>
      <c r="R116" s="222">
        <v>8103</v>
      </c>
      <c r="S116" s="224">
        <f t="shared" si="68"/>
        <v>0</v>
      </c>
      <c r="T116" s="222">
        <v>8103</v>
      </c>
      <c r="U116" s="226" t="str">
        <f t="shared" si="125"/>
        <v xml:space="preserve"> </v>
      </c>
      <c r="V116" s="312">
        <v>8103</v>
      </c>
      <c r="W116" s="286">
        <f>Q116*Wirtschaftlichkeit!$H$5/Wirtschaftlichkeit!$H$7</f>
        <v>0</v>
      </c>
      <c r="X116" s="284">
        <f t="shared" si="70"/>
        <v>0</v>
      </c>
      <c r="Z116" s="222">
        <v>8103</v>
      </c>
      <c r="AA116" s="225" t="str">
        <f>IF($C116&gt;=Wirtschaftlichkeit!$I$8,Wirtschaftlichkeit!$I$8,IF(AND($C116&lt;=Wirtschaftlichkeit!$I$8,$C116&gt;=Wirtschaftlichkeit!$I$8*Eingabemaske!$B$18),$C116,"0"))</f>
        <v>0</v>
      </c>
      <c r="AB116" s="222">
        <v>8103</v>
      </c>
      <c r="AC116" s="224">
        <f t="shared" si="71"/>
        <v>0</v>
      </c>
      <c r="AD116" s="222">
        <v>8103</v>
      </c>
      <c r="AE116" s="226" t="str">
        <f t="shared" si="126"/>
        <v xml:space="preserve"> </v>
      </c>
      <c r="AF116" s="312">
        <v>8103</v>
      </c>
      <c r="AG116" s="286">
        <f>AA116*Wirtschaftlichkeit!$I$5/Wirtschaftlichkeit!$I$7</f>
        <v>0</v>
      </c>
      <c r="AH116" s="284">
        <f t="shared" si="73"/>
        <v>0</v>
      </c>
      <c r="AJ116" s="222">
        <v>8103</v>
      </c>
      <c r="AK116" s="225" t="str">
        <f>IF($C116&gt;=Wirtschaftlichkeit!$J$8,Wirtschaftlichkeit!$J$8,IF(AND($C116&lt;=Wirtschaftlichkeit!$J$8,$C116&gt;=Wirtschaftlichkeit!$J$8*Eingabemaske!$B$18),$C116,"0"))</f>
        <v>0</v>
      </c>
      <c r="AL116" s="222">
        <v>8103</v>
      </c>
      <c r="AM116" s="224">
        <f t="shared" si="74"/>
        <v>0</v>
      </c>
      <c r="AN116" s="222">
        <v>8103</v>
      </c>
      <c r="AO116" s="226" t="str">
        <f t="shared" si="127"/>
        <v xml:space="preserve"> </v>
      </c>
      <c r="AP116" s="312">
        <v>8103</v>
      </c>
      <c r="AQ116" s="286">
        <f>AK116*Wirtschaftlichkeit!$J$5/Wirtschaftlichkeit!$J$7</f>
        <v>0</v>
      </c>
      <c r="AR116" s="284">
        <f t="shared" si="76"/>
        <v>0</v>
      </c>
      <c r="AT116" s="222">
        <v>8103</v>
      </c>
      <c r="AU116" s="225" t="str">
        <f>IF($C116&gt;=Wirtschaftlichkeit!$K$8,Wirtschaftlichkeit!$K$8,IF(AND($C116&lt;=Wirtschaftlichkeit!$K$8,$C116&gt;=Wirtschaftlichkeit!$K$8*Eingabemaske!$B$18),$C116,"0"))</f>
        <v>0</v>
      </c>
      <c r="AV116" s="222">
        <v>8103</v>
      </c>
      <c r="AW116" s="224">
        <f t="shared" si="77"/>
        <v>0</v>
      </c>
      <c r="AX116" s="222">
        <v>8103</v>
      </c>
      <c r="AY116" s="226" t="str">
        <f t="shared" si="128"/>
        <v xml:space="preserve"> </v>
      </c>
      <c r="AZ116" s="312">
        <v>8103</v>
      </c>
      <c r="BA116" s="286">
        <f>AU116*Wirtschaftlichkeit!$K$5/Wirtschaftlichkeit!$K$7</f>
        <v>0</v>
      </c>
      <c r="BB116" s="284">
        <f t="shared" si="79"/>
        <v>0</v>
      </c>
      <c r="BD116" s="222">
        <v>8103</v>
      </c>
      <c r="BE116" s="225" t="str">
        <f>IF($C116&gt;=Wirtschaftlichkeit!$L$8,Wirtschaftlichkeit!$L$8,IF(AND($C116&lt;=Wirtschaftlichkeit!$L$8,$C116&gt;=Wirtschaftlichkeit!$L$8*Eingabemaske!$B$18),$C116,"0"))</f>
        <v>0</v>
      </c>
      <c r="BF116" s="222">
        <v>8103</v>
      </c>
      <c r="BG116" s="224">
        <f t="shared" si="80"/>
        <v>0</v>
      </c>
      <c r="BH116" s="222">
        <v>8103</v>
      </c>
      <c r="BI116" s="226" t="str">
        <f t="shared" si="129"/>
        <v xml:space="preserve"> </v>
      </c>
      <c r="BJ116" s="312">
        <v>8103</v>
      </c>
      <c r="BK116" s="286">
        <f>BE116*Wirtschaftlichkeit!$L$5/Wirtschaftlichkeit!$L$7</f>
        <v>0</v>
      </c>
      <c r="BL116" s="284">
        <f t="shared" si="82"/>
        <v>0</v>
      </c>
      <c r="BN116" s="222">
        <v>8103</v>
      </c>
      <c r="BO116" s="225" t="str">
        <f>IF($C116&gt;=Wirtschaftlichkeit!$M$8,Wirtschaftlichkeit!$M$8,IF(AND($C116&lt;=Wirtschaftlichkeit!$M$8,$C116&gt;=Wirtschaftlichkeit!$M$8*Eingabemaske!$B$18),$C116,"0"))</f>
        <v>0</v>
      </c>
      <c r="BP116" s="222">
        <v>8103</v>
      </c>
      <c r="BQ116" s="224">
        <f t="shared" si="83"/>
        <v>0</v>
      </c>
      <c r="BR116" s="222">
        <v>8103</v>
      </c>
      <c r="BS116" s="226" t="str">
        <f t="shared" si="130"/>
        <v xml:space="preserve"> </v>
      </c>
      <c r="BT116" s="312">
        <v>8103</v>
      </c>
      <c r="BU116" s="286">
        <f>BO116*Wirtschaftlichkeit!$M$5/Wirtschaftlichkeit!$M$7</f>
        <v>0</v>
      </c>
      <c r="BV116" s="284">
        <f t="shared" si="85"/>
        <v>0</v>
      </c>
      <c r="BX116" s="222">
        <v>8103</v>
      </c>
      <c r="BY116" s="225" t="str">
        <f>IF($C116&gt;=Wirtschaftlichkeit!$N$8,Wirtschaftlichkeit!$N$8,IF(AND($C116&lt;=Wirtschaftlichkeit!$N$8,$C116&gt;=Wirtschaftlichkeit!$N$8*Eingabemaske!$B$18),$C116,"0"))</f>
        <v>0</v>
      </c>
      <c r="BZ116" s="222">
        <v>8103</v>
      </c>
      <c r="CA116" s="224">
        <f t="shared" si="86"/>
        <v>0</v>
      </c>
      <c r="CB116" s="222">
        <v>8103</v>
      </c>
      <c r="CC116" s="226" t="str">
        <f t="shared" si="131"/>
        <v xml:space="preserve"> </v>
      </c>
      <c r="CD116" s="312">
        <v>8103</v>
      </c>
      <c r="CE116" s="286">
        <f>BY116*Wirtschaftlichkeit!$N$5/Wirtschaftlichkeit!$N$7</f>
        <v>0</v>
      </c>
      <c r="CF116" s="284">
        <f t="shared" si="88"/>
        <v>0</v>
      </c>
      <c r="CH116" s="222">
        <v>8103</v>
      </c>
      <c r="CI116" s="225" t="str">
        <f>IF($C116&gt;=Wirtschaftlichkeit!$O$8,Wirtschaftlichkeit!$O$8,IF(AND($C116&lt;=Wirtschaftlichkeit!$O$8,$C116&gt;=Wirtschaftlichkeit!$O$8*Eingabemaske!$B$18),$C116,"0"))</f>
        <v>0</v>
      </c>
      <c r="CJ116" s="222">
        <v>8103</v>
      </c>
      <c r="CK116" s="224">
        <f t="shared" si="89"/>
        <v>0</v>
      </c>
      <c r="CL116" s="222">
        <v>8103</v>
      </c>
      <c r="CM116" s="226" t="str">
        <f t="shared" si="132"/>
        <v xml:space="preserve"> </v>
      </c>
      <c r="CN116" s="312">
        <v>8103</v>
      </c>
      <c r="CO116" s="286">
        <f>CI116*Wirtschaftlichkeit!$O$5/Wirtschaftlichkeit!$O$7</f>
        <v>0</v>
      </c>
      <c r="CP116" s="284">
        <f t="shared" si="91"/>
        <v>0</v>
      </c>
      <c r="CR116" s="222">
        <v>8103</v>
      </c>
      <c r="CS116" s="225" t="str">
        <f>IF($C116&gt;=Wirtschaftlichkeit!$P$8,Wirtschaftlichkeit!$P$8,IF(AND($C116&lt;=Wirtschaftlichkeit!$P$8,$C116&gt;=Wirtschaftlichkeit!$P$8*Eingabemaske!$B$18),$C116,"0"))</f>
        <v>0</v>
      </c>
      <c r="CT116" s="222">
        <v>8103</v>
      </c>
      <c r="CU116" s="224">
        <f t="shared" si="92"/>
        <v>0</v>
      </c>
      <c r="CV116" s="222">
        <v>8103</v>
      </c>
      <c r="CW116" s="226" t="str">
        <f t="shared" si="133"/>
        <v xml:space="preserve"> </v>
      </c>
      <c r="CX116" s="312">
        <v>8103</v>
      </c>
      <c r="CY116" s="286">
        <f>CS116*Wirtschaftlichkeit!$P$5/Wirtschaftlichkeit!$P$7</f>
        <v>0</v>
      </c>
      <c r="CZ116" s="284">
        <f t="shared" si="94"/>
        <v>0</v>
      </c>
      <c r="DB116" s="222">
        <v>8103</v>
      </c>
      <c r="DC116" s="225" t="str">
        <f>IF($C116&gt;=Wirtschaftlichkeit!$Q$8,Wirtschaftlichkeit!$Q$8,IF(AND($C116&lt;=Wirtschaftlichkeit!$Q$8,$C116&gt;=Wirtschaftlichkeit!$Q$8*Eingabemaske!$B$18),$C116,"0"))</f>
        <v>0</v>
      </c>
      <c r="DD116" s="222">
        <v>8103</v>
      </c>
      <c r="DE116" s="224">
        <f t="shared" si="95"/>
        <v>0</v>
      </c>
      <c r="DF116" s="222">
        <v>8103</v>
      </c>
      <c r="DG116" s="226" t="str">
        <f t="shared" si="134"/>
        <v xml:space="preserve"> </v>
      </c>
      <c r="DH116" s="312">
        <v>8103</v>
      </c>
      <c r="DI116" s="286">
        <f>DC116*Wirtschaftlichkeit!$Q$5/Wirtschaftlichkeit!$Q$7</f>
        <v>0</v>
      </c>
      <c r="DJ116" s="284">
        <f t="shared" si="97"/>
        <v>0</v>
      </c>
      <c r="DL116" s="222">
        <v>8103</v>
      </c>
      <c r="DM116" s="225" t="str">
        <f>IF($C116&gt;=Wirtschaftlichkeit!$R$8,Wirtschaftlichkeit!$R$8,IF(AND($C116&lt;=Wirtschaftlichkeit!$R$8,$C116&gt;=Wirtschaftlichkeit!$R$8*Eingabemaske!$B$18),$C116,"0"))</f>
        <v>0</v>
      </c>
      <c r="DN116" s="222">
        <v>8103</v>
      </c>
      <c r="DO116" s="224">
        <f t="shared" si="98"/>
        <v>0</v>
      </c>
      <c r="DP116" s="222">
        <v>8103</v>
      </c>
      <c r="DQ116" s="226" t="str">
        <f t="shared" si="135"/>
        <v xml:space="preserve"> </v>
      </c>
      <c r="DR116" s="312">
        <v>8103</v>
      </c>
      <c r="DS116" s="286">
        <f>DM116*Wirtschaftlichkeit!$R$5/Wirtschaftlichkeit!$R$7</f>
        <v>0</v>
      </c>
      <c r="DT116" s="284">
        <f t="shared" si="100"/>
        <v>0</v>
      </c>
      <c r="DV116" s="222">
        <v>8103</v>
      </c>
      <c r="DW116" s="225" t="str">
        <f>IF($C116&gt;=Wirtschaftlichkeit!$S$8,Wirtschaftlichkeit!$S$8,IF(AND($C116&lt;=Wirtschaftlichkeit!$S$8,$C116&gt;=Wirtschaftlichkeit!$S$8*Eingabemaske!$B$18),$C116,"0"))</f>
        <v>0</v>
      </c>
      <c r="DX116" s="222">
        <v>8103</v>
      </c>
      <c r="DY116" s="224">
        <f t="shared" si="101"/>
        <v>0</v>
      </c>
      <c r="DZ116" s="222">
        <v>8103</v>
      </c>
      <c r="EA116" s="226" t="str">
        <f t="shared" si="136"/>
        <v xml:space="preserve"> </v>
      </c>
      <c r="EB116" s="312">
        <v>8103</v>
      </c>
      <c r="EC116" s="286">
        <f>DW116*Wirtschaftlichkeit!$S$5/Wirtschaftlichkeit!$S$7</f>
        <v>0</v>
      </c>
      <c r="ED116" s="284">
        <f t="shared" si="103"/>
        <v>0</v>
      </c>
      <c r="EF116" s="222">
        <v>8103</v>
      </c>
      <c r="EG116" s="225" t="str">
        <f>IF($C116&gt;=Wirtschaftlichkeit!$T$8,Wirtschaftlichkeit!$T$8,IF(AND($C116&lt;=Wirtschaftlichkeit!$T$8,$C116&gt;=Wirtschaftlichkeit!$T$8*Eingabemaske!$B$18),$C116,"0"))</f>
        <v>0</v>
      </c>
      <c r="EH116" s="222">
        <v>8103</v>
      </c>
      <c r="EI116" s="224">
        <f t="shared" si="104"/>
        <v>0</v>
      </c>
      <c r="EJ116" s="222">
        <v>8103</v>
      </c>
      <c r="EK116" s="226" t="str">
        <f t="shared" si="137"/>
        <v xml:space="preserve"> </v>
      </c>
      <c r="EL116" s="312">
        <v>8103</v>
      </c>
      <c r="EM116" s="286">
        <f>EG116*Wirtschaftlichkeit!$T$5/Wirtschaftlichkeit!$T$7</f>
        <v>0</v>
      </c>
      <c r="EN116" s="284">
        <f t="shared" si="106"/>
        <v>0</v>
      </c>
      <c r="EP116" s="222">
        <v>8103</v>
      </c>
      <c r="EQ116" s="225" t="str">
        <f>IF($C116&gt;=Wirtschaftlichkeit!$U$8,Wirtschaftlichkeit!$U$8,IF(AND($C116&lt;=Wirtschaftlichkeit!$U$8,$C116&gt;=Wirtschaftlichkeit!$U$8*Eingabemaske!$B$18),$C116,"0"))</f>
        <v>0</v>
      </c>
      <c r="ER116" s="222">
        <v>8103</v>
      </c>
      <c r="ES116" s="224">
        <f t="shared" si="107"/>
        <v>0</v>
      </c>
      <c r="ET116" s="222">
        <v>8103</v>
      </c>
      <c r="EU116" s="226" t="str">
        <f t="shared" si="138"/>
        <v xml:space="preserve"> </v>
      </c>
      <c r="EV116" s="312">
        <v>8103</v>
      </c>
      <c r="EW116" s="286">
        <f>EQ116*Wirtschaftlichkeit!$U$5/Wirtschaftlichkeit!$U$7</f>
        <v>0</v>
      </c>
      <c r="EX116" s="284">
        <f t="shared" si="109"/>
        <v>0</v>
      </c>
      <c r="EZ116" s="222">
        <v>8103</v>
      </c>
      <c r="FA116" s="225" t="str">
        <f>IF($C116&gt;=Wirtschaftlichkeit!$V$8,Wirtschaftlichkeit!$V$8,IF(AND($C116&lt;=Wirtschaftlichkeit!$V$8,$C116&gt;=Wirtschaftlichkeit!$V$8*Eingabemaske!$B$18),$C116,"0"))</f>
        <v>0</v>
      </c>
      <c r="FB116" s="222">
        <v>8103</v>
      </c>
      <c r="FC116" s="224">
        <f t="shared" si="110"/>
        <v>0</v>
      </c>
      <c r="FD116" s="222">
        <v>8103</v>
      </c>
      <c r="FE116" s="226" t="str">
        <f t="shared" si="139"/>
        <v xml:space="preserve"> </v>
      </c>
      <c r="FF116" s="312">
        <v>8103</v>
      </c>
      <c r="FG116" s="286">
        <f>FA116*Wirtschaftlichkeit!$V$5/Wirtschaftlichkeit!$V$7</f>
        <v>0</v>
      </c>
      <c r="FH116" s="284">
        <f t="shared" si="112"/>
        <v>0</v>
      </c>
      <c r="FJ116" s="222">
        <v>8103</v>
      </c>
      <c r="FK116" s="225" t="str">
        <f>IF($C116&gt;=Wirtschaftlichkeit!$W$8,Wirtschaftlichkeit!$W$8,IF(AND($C116&lt;=Wirtschaftlichkeit!$W$8,$C116&gt;=Wirtschaftlichkeit!$W$8*Eingabemaske!$B$18),$C116,"0"))</f>
        <v>0</v>
      </c>
      <c r="FL116" s="222">
        <v>8103</v>
      </c>
      <c r="FM116" s="224">
        <f t="shared" si="113"/>
        <v>0</v>
      </c>
      <c r="FN116" s="222">
        <v>8103</v>
      </c>
      <c r="FO116" s="226" t="str">
        <f t="shared" si="140"/>
        <v xml:space="preserve"> </v>
      </c>
      <c r="FP116" s="312">
        <v>8103</v>
      </c>
      <c r="FQ116" s="286">
        <f>FK116*Wirtschaftlichkeit!$W$5/Wirtschaftlichkeit!$W$7</f>
        <v>0</v>
      </c>
      <c r="FR116" s="284">
        <f t="shared" si="115"/>
        <v>0</v>
      </c>
      <c r="FT116" s="222">
        <v>8103</v>
      </c>
      <c r="FU116" s="225" t="str">
        <f>IF($C116&gt;=Wirtschaftlichkeit!$X$8,Wirtschaftlichkeit!$X$8,IF(AND($C116&lt;=Wirtschaftlichkeit!$X$8,$C116&gt;=Wirtschaftlichkeit!$X$8*Eingabemaske!$B$18),$C116,"0"))</f>
        <v>0</v>
      </c>
      <c r="FV116" s="222">
        <v>8103</v>
      </c>
      <c r="FW116" s="224">
        <f t="shared" si="116"/>
        <v>0</v>
      </c>
      <c r="FX116" s="222">
        <v>8103</v>
      </c>
      <c r="FY116" s="226" t="str">
        <f t="shared" si="141"/>
        <v xml:space="preserve"> </v>
      </c>
      <c r="FZ116" s="312">
        <v>8103</v>
      </c>
      <c r="GA116" s="286">
        <f>FU116*Wirtschaftlichkeit!$X$5/Wirtschaftlichkeit!$X$7</f>
        <v>0</v>
      </c>
      <c r="GB116" s="284">
        <f t="shared" si="118"/>
        <v>0</v>
      </c>
      <c r="GD116" s="222">
        <v>8103</v>
      </c>
      <c r="GE116" s="225" t="str">
        <f>IF($C116&gt;=Wirtschaftlichkeit!$Y$8,Wirtschaftlichkeit!$Y$8,IF(AND($C116&lt;=Wirtschaftlichkeit!$Y$8,$C116&gt;=Wirtschaftlichkeit!$Y$8*Eingabemaske!$B$18),$C116,"0"))</f>
        <v>0</v>
      </c>
      <c r="GF116" s="222">
        <v>8103</v>
      </c>
      <c r="GG116" s="224">
        <f t="shared" si="119"/>
        <v>0</v>
      </c>
      <c r="GH116" s="222">
        <v>8103</v>
      </c>
      <c r="GI116" s="226" t="str">
        <f t="shared" si="142"/>
        <v xml:space="preserve"> </v>
      </c>
      <c r="GJ116" s="312">
        <v>8103</v>
      </c>
      <c r="GK116" s="286">
        <f>GE116*Wirtschaftlichkeit!$Y$5/Wirtschaftlichkeit!$Y$7</f>
        <v>0</v>
      </c>
      <c r="GL116" s="284">
        <f t="shared" si="121"/>
        <v>0</v>
      </c>
      <c r="GN116" s="222">
        <v>8103</v>
      </c>
      <c r="GO116" s="225" t="str">
        <f>IF($C116&gt;=Wirtschaftlichkeit!$Z$8,Wirtschaftlichkeit!$Z$8,IF(AND($C116&lt;=Wirtschaftlichkeit!$Z$8,$C116&gt;=Wirtschaftlichkeit!$Z$8*Eingabemaske!$B$18),$C116,"0"))</f>
        <v>0</v>
      </c>
      <c r="GP116" s="222">
        <v>8103</v>
      </c>
      <c r="GQ116" s="224">
        <f t="shared" si="122"/>
        <v>0</v>
      </c>
      <c r="GR116" s="222">
        <v>8103</v>
      </c>
      <c r="GS116" s="226" t="str">
        <f t="shared" si="143"/>
        <v xml:space="preserve"> </v>
      </c>
      <c r="GT116" s="312">
        <v>8103</v>
      </c>
      <c r="GU116" s="286">
        <f>GO116*Wirtschaftlichkeit!$Z$5/Wirtschaftlichkeit!$Z$7</f>
        <v>0</v>
      </c>
      <c r="GV116" s="284">
        <f t="shared" si="124"/>
        <v>0</v>
      </c>
      <c r="GW116" s="266"/>
      <c r="GX116" s="258">
        <v>8103</v>
      </c>
      <c r="GY116" s="270" t="str">
        <f>IF(Berechnung_Diagramme!$C$28=Berechnungen_Lastgang!$F$2,Berechnungen_Lastgang!G116,IF(Berechnung_Diagramme!$C$28=Berechnungen_Lastgang!$P$2,Berechnungen_Lastgang!Q116,IF(Berechnung_Diagramme!$C$28=Berechnungen_Lastgang!$Z$2,Berechnungen_Lastgang!AA116,IF(Berechnung_Diagramme!$C$28=Berechnungen_Lastgang!$AJ$2,Berechnungen_Lastgang!AK116,IF(Berechnung_Diagramme!$C$28=Berechnungen_Lastgang!$AT$2,Berechnungen_Lastgang!AU116,IF(Berechnung_Diagramme!$C$28=Berechnungen_Lastgang!$BD$2,Berechnungen_Lastgang!BE116,IF(Berechnung_Diagramme!$C$28=Berechnungen_Lastgang!$BN$2,Berechnungen_Lastgang!BO116,IF(Berechnung_Diagramme!$C$28=Berechnungen_Lastgang!$BX$2,Berechnungen_Lastgang!BY116,IF(Berechnung_Diagramme!$C$28=Berechnungen_Lastgang!$CH$2,Berechnungen_Lastgang!CI116,IF(Berechnung_Diagramme!$C$28=Berechnungen_Lastgang!$CR$2,Berechnungen_Lastgang!CS116,IF(Berechnung_Diagramme!$C$28=Berechnungen_Lastgang!$DB$2,Berechnungen_Lastgang!DC116,IF(Berechnung_Diagramme!$C$28=Berechnungen_Lastgang!$DL$2,Berechnungen_Lastgang!DM116,IF(Berechnung_Diagramme!$C$28=Berechnungen_Lastgang!$DV$2,Berechnungen_Lastgang!DW116,IF(Berechnung_Diagramme!$C$28=Berechnungen_Lastgang!$EF$2,Berechnungen_Lastgang!EG116,IF(Berechnung_Diagramme!$C$28=Berechnungen_Lastgang!$EP$2,Berechnungen_Lastgang!EQ116,IF(Berechnung_Diagramme!$C$28=Berechnungen_Lastgang!$EZ$2,Berechnungen_Lastgang!FA116,IF(Berechnung_Diagramme!$C$28=Berechnungen_Lastgang!$FJ$2,Berechnungen_Lastgang!FK116,IF(Berechnung_Diagramme!$C$28=Berechnungen_Lastgang!$FT$2,Berechnungen_Lastgang!FU116,IF(Berechnung_Diagramme!$C$28=Berechnungen_Lastgang!$GD$2,Berechnungen_Lastgang!GE116,IF(Berechnung_Diagramme!$C$28=Berechnungen_Lastgang!$GN$2,Berechnungen_Lastgang!GO116,""))))))))))))))))))))</f>
        <v>0</v>
      </c>
    </row>
    <row r="117" spans="2:207" x14ac:dyDescent="0.25">
      <c r="B117" s="64">
        <v>8176</v>
      </c>
      <c r="C117" s="67">
        <f>C116+((C120-C116)/(B120-B116))*(B117-B116)</f>
        <v>1.6559999999999997</v>
      </c>
      <c r="D117" s="66">
        <f t="shared" si="144"/>
        <v>113.33249999999998</v>
      </c>
      <c r="F117" s="64">
        <v>8176</v>
      </c>
      <c r="G117" s="225">
        <f>IF($C117&gt;=Wirtschaftlichkeit!$G$8,Wirtschaftlichkeit!$G$8,IF(AND($C117&lt;=Wirtschaftlichkeit!$G$8,$C117&gt;=Wirtschaftlichkeit!$G$8*Eingabemaske!$B$18),$C117,"0"))</f>
        <v>1.6559999999999997</v>
      </c>
      <c r="H117" s="64">
        <v>8176</v>
      </c>
      <c r="I117" s="66">
        <f t="shared" si="145"/>
        <v>113.33249999999998</v>
      </c>
      <c r="J117" s="64">
        <v>8176</v>
      </c>
      <c r="K117" s="71">
        <f t="shared" si="146"/>
        <v>1.6559999999999997</v>
      </c>
      <c r="L117" s="312">
        <v>8176</v>
      </c>
      <c r="M117" s="286">
        <f>G117*Wirtschaftlichkeit!$G$5/Wirtschaftlichkeit!$G$7</f>
        <v>0.58447058823529396</v>
      </c>
      <c r="N117" s="284">
        <f t="shared" si="67"/>
        <v>39.999705882352934</v>
      </c>
      <c r="P117" s="222">
        <v>8176</v>
      </c>
      <c r="Q117" s="225" t="str">
        <f>IF($C117&gt;=Wirtschaftlichkeit!$H$8,Wirtschaftlichkeit!$H$8,IF(AND($C117&lt;=Wirtschaftlichkeit!$H$8,$C117&gt;=Wirtschaftlichkeit!$H$8*Eingabemaske!$B$18),$C117,"0"))</f>
        <v>0</v>
      </c>
      <c r="R117" s="222">
        <v>8176</v>
      </c>
      <c r="S117" s="224">
        <f t="shared" si="68"/>
        <v>0</v>
      </c>
      <c r="T117" s="222">
        <v>8176</v>
      </c>
      <c r="U117" s="226" t="str">
        <f t="shared" si="125"/>
        <v xml:space="preserve"> </v>
      </c>
      <c r="V117" s="312">
        <v>8176</v>
      </c>
      <c r="W117" s="286">
        <f>Q117*Wirtschaftlichkeit!$H$5/Wirtschaftlichkeit!$H$7</f>
        <v>0</v>
      </c>
      <c r="X117" s="284">
        <f t="shared" si="70"/>
        <v>0</v>
      </c>
      <c r="Z117" s="222">
        <v>8176</v>
      </c>
      <c r="AA117" s="225" t="str">
        <f>IF($C117&gt;=Wirtschaftlichkeit!$I$8,Wirtschaftlichkeit!$I$8,IF(AND($C117&lt;=Wirtschaftlichkeit!$I$8,$C117&gt;=Wirtschaftlichkeit!$I$8*Eingabemaske!$B$18),$C117,"0"))</f>
        <v>0</v>
      </c>
      <c r="AB117" s="222">
        <v>8176</v>
      </c>
      <c r="AC117" s="224">
        <f t="shared" si="71"/>
        <v>0</v>
      </c>
      <c r="AD117" s="222">
        <v>8176</v>
      </c>
      <c r="AE117" s="226" t="str">
        <f t="shared" si="126"/>
        <v xml:space="preserve"> </v>
      </c>
      <c r="AF117" s="312">
        <v>8176</v>
      </c>
      <c r="AG117" s="286">
        <f>AA117*Wirtschaftlichkeit!$I$5/Wirtschaftlichkeit!$I$7</f>
        <v>0</v>
      </c>
      <c r="AH117" s="284">
        <f t="shared" si="73"/>
        <v>0</v>
      </c>
      <c r="AJ117" s="222">
        <v>8176</v>
      </c>
      <c r="AK117" s="225" t="str">
        <f>IF($C117&gt;=Wirtschaftlichkeit!$J$8,Wirtschaftlichkeit!$J$8,IF(AND($C117&lt;=Wirtschaftlichkeit!$J$8,$C117&gt;=Wirtschaftlichkeit!$J$8*Eingabemaske!$B$18),$C117,"0"))</f>
        <v>0</v>
      </c>
      <c r="AL117" s="222">
        <v>8176</v>
      </c>
      <c r="AM117" s="224">
        <f t="shared" si="74"/>
        <v>0</v>
      </c>
      <c r="AN117" s="222">
        <v>8176</v>
      </c>
      <c r="AO117" s="226" t="str">
        <f t="shared" si="127"/>
        <v xml:space="preserve"> </v>
      </c>
      <c r="AP117" s="312">
        <v>8176</v>
      </c>
      <c r="AQ117" s="286">
        <f>AK117*Wirtschaftlichkeit!$J$5/Wirtschaftlichkeit!$J$7</f>
        <v>0</v>
      </c>
      <c r="AR117" s="284">
        <f t="shared" si="76"/>
        <v>0</v>
      </c>
      <c r="AT117" s="222">
        <v>8176</v>
      </c>
      <c r="AU117" s="225" t="str">
        <f>IF($C117&gt;=Wirtschaftlichkeit!$K$8,Wirtschaftlichkeit!$K$8,IF(AND($C117&lt;=Wirtschaftlichkeit!$K$8,$C117&gt;=Wirtschaftlichkeit!$K$8*Eingabemaske!$B$18),$C117,"0"))</f>
        <v>0</v>
      </c>
      <c r="AV117" s="222">
        <v>8176</v>
      </c>
      <c r="AW117" s="224">
        <f t="shared" si="77"/>
        <v>0</v>
      </c>
      <c r="AX117" s="222">
        <v>8176</v>
      </c>
      <c r="AY117" s="226" t="str">
        <f t="shared" si="128"/>
        <v xml:space="preserve"> </v>
      </c>
      <c r="AZ117" s="312">
        <v>8176</v>
      </c>
      <c r="BA117" s="286">
        <f>AU117*Wirtschaftlichkeit!$K$5/Wirtschaftlichkeit!$K$7</f>
        <v>0</v>
      </c>
      <c r="BB117" s="284">
        <f t="shared" si="79"/>
        <v>0</v>
      </c>
      <c r="BD117" s="222">
        <v>8176</v>
      </c>
      <c r="BE117" s="225" t="str">
        <f>IF($C117&gt;=Wirtschaftlichkeit!$L$8,Wirtschaftlichkeit!$L$8,IF(AND($C117&lt;=Wirtschaftlichkeit!$L$8,$C117&gt;=Wirtschaftlichkeit!$L$8*Eingabemaske!$B$18),$C117,"0"))</f>
        <v>0</v>
      </c>
      <c r="BF117" s="222">
        <v>8176</v>
      </c>
      <c r="BG117" s="224">
        <f t="shared" si="80"/>
        <v>0</v>
      </c>
      <c r="BH117" s="222">
        <v>8176</v>
      </c>
      <c r="BI117" s="226" t="str">
        <f t="shared" si="129"/>
        <v xml:space="preserve"> </v>
      </c>
      <c r="BJ117" s="312">
        <v>8176</v>
      </c>
      <c r="BK117" s="286">
        <f>BE117*Wirtschaftlichkeit!$L$5/Wirtschaftlichkeit!$L$7</f>
        <v>0</v>
      </c>
      <c r="BL117" s="284">
        <f t="shared" si="82"/>
        <v>0</v>
      </c>
      <c r="BN117" s="222">
        <v>8176</v>
      </c>
      <c r="BO117" s="225" t="str">
        <f>IF($C117&gt;=Wirtschaftlichkeit!$M$8,Wirtschaftlichkeit!$M$8,IF(AND($C117&lt;=Wirtschaftlichkeit!$M$8,$C117&gt;=Wirtschaftlichkeit!$M$8*Eingabemaske!$B$18),$C117,"0"))</f>
        <v>0</v>
      </c>
      <c r="BP117" s="222">
        <v>8176</v>
      </c>
      <c r="BQ117" s="224">
        <f t="shared" si="83"/>
        <v>0</v>
      </c>
      <c r="BR117" s="222">
        <v>8176</v>
      </c>
      <c r="BS117" s="226" t="str">
        <f t="shared" si="130"/>
        <v xml:space="preserve"> </v>
      </c>
      <c r="BT117" s="312">
        <v>8176</v>
      </c>
      <c r="BU117" s="286">
        <f>BO117*Wirtschaftlichkeit!$M$5/Wirtschaftlichkeit!$M$7</f>
        <v>0</v>
      </c>
      <c r="BV117" s="284">
        <f t="shared" si="85"/>
        <v>0</v>
      </c>
      <c r="BX117" s="222">
        <v>8176</v>
      </c>
      <c r="BY117" s="225" t="str">
        <f>IF($C117&gt;=Wirtschaftlichkeit!$N$8,Wirtschaftlichkeit!$N$8,IF(AND($C117&lt;=Wirtschaftlichkeit!$N$8,$C117&gt;=Wirtschaftlichkeit!$N$8*Eingabemaske!$B$18),$C117,"0"))</f>
        <v>0</v>
      </c>
      <c r="BZ117" s="222">
        <v>8176</v>
      </c>
      <c r="CA117" s="224">
        <f t="shared" si="86"/>
        <v>0</v>
      </c>
      <c r="CB117" s="222">
        <v>8176</v>
      </c>
      <c r="CC117" s="226" t="str">
        <f t="shared" si="131"/>
        <v xml:space="preserve"> </v>
      </c>
      <c r="CD117" s="312">
        <v>8176</v>
      </c>
      <c r="CE117" s="286">
        <f>BY117*Wirtschaftlichkeit!$N$5/Wirtschaftlichkeit!$N$7</f>
        <v>0</v>
      </c>
      <c r="CF117" s="284">
        <f t="shared" si="88"/>
        <v>0</v>
      </c>
      <c r="CH117" s="222">
        <v>8176</v>
      </c>
      <c r="CI117" s="225" t="str">
        <f>IF($C117&gt;=Wirtschaftlichkeit!$O$8,Wirtschaftlichkeit!$O$8,IF(AND($C117&lt;=Wirtschaftlichkeit!$O$8,$C117&gt;=Wirtschaftlichkeit!$O$8*Eingabemaske!$B$18),$C117,"0"))</f>
        <v>0</v>
      </c>
      <c r="CJ117" s="222">
        <v>8176</v>
      </c>
      <c r="CK117" s="224">
        <f t="shared" si="89"/>
        <v>0</v>
      </c>
      <c r="CL117" s="222">
        <v>8176</v>
      </c>
      <c r="CM117" s="226" t="str">
        <f t="shared" si="132"/>
        <v xml:space="preserve"> </v>
      </c>
      <c r="CN117" s="312">
        <v>8176</v>
      </c>
      <c r="CO117" s="286">
        <f>CI117*Wirtschaftlichkeit!$O$5/Wirtschaftlichkeit!$O$7</f>
        <v>0</v>
      </c>
      <c r="CP117" s="284">
        <f t="shared" si="91"/>
        <v>0</v>
      </c>
      <c r="CR117" s="222">
        <v>8176</v>
      </c>
      <c r="CS117" s="225" t="str">
        <f>IF($C117&gt;=Wirtschaftlichkeit!$P$8,Wirtschaftlichkeit!$P$8,IF(AND($C117&lt;=Wirtschaftlichkeit!$P$8,$C117&gt;=Wirtschaftlichkeit!$P$8*Eingabemaske!$B$18),$C117,"0"))</f>
        <v>0</v>
      </c>
      <c r="CT117" s="222">
        <v>8176</v>
      </c>
      <c r="CU117" s="224">
        <f t="shared" si="92"/>
        <v>0</v>
      </c>
      <c r="CV117" s="222">
        <v>8176</v>
      </c>
      <c r="CW117" s="226" t="str">
        <f t="shared" si="133"/>
        <v xml:space="preserve"> </v>
      </c>
      <c r="CX117" s="312">
        <v>8176</v>
      </c>
      <c r="CY117" s="286">
        <f>CS117*Wirtschaftlichkeit!$P$5/Wirtschaftlichkeit!$P$7</f>
        <v>0</v>
      </c>
      <c r="CZ117" s="284">
        <f t="shared" si="94"/>
        <v>0</v>
      </c>
      <c r="DB117" s="222">
        <v>8176</v>
      </c>
      <c r="DC117" s="225" t="str">
        <f>IF($C117&gt;=Wirtschaftlichkeit!$Q$8,Wirtschaftlichkeit!$Q$8,IF(AND($C117&lt;=Wirtschaftlichkeit!$Q$8,$C117&gt;=Wirtschaftlichkeit!$Q$8*Eingabemaske!$B$18),$C117,"0"))</f>
        <v>0</v>
      </c>
      <c r="DD117" s="222">
        <v>8176</v>
      </c>
      <c r="DE117" s="224">
        <f t="shared" si="95"/>
        <v>0</v>
      </c>
      <c r="DF117" s="222">
        <v>8176</v>
      </c>
      <c r="DG117" s="226" t="str">
        <f t="shared" si="134"/>
        <v xml:space="preserve"> </v>
      </c>
      <c r="DH117" s="312">
        <v>8176</v>
      </c>
      <c r="DI117" s="286">
        <f>DC117*Wirtschaftlichkeit!$Q$5/Wirtschaftlichkeit!$Q$7</f>
        <v>0</v>
      </c>
      <c r="DJ117" s="284">
        <f t="shared" si="97"/>
        <v>0</v>
      </c>
      <c r="DL117" s="222">
        <v>8176</v>
      </c>
      <c r="DM117" s="225" t="str">
        <f>IF($C117&gt;=Wirtschaftlichkeit!$R$8,Wirtschaftlichkeit!$R$8,IF(AND($C117&lt;=Wirtschaftlichkeit!$R$8,$C117&gt;=Wirtschaftlichkeit!$R$8*Eingabemaske!$B$18),$C117,"0"))</f>
        <v>0</v>
      </c>
      <c r="DN117" s="222">
        <v>8176</v>
      </c>
      <c r="DO117" s="224">
        <f t="shared" si="98"/>
        <v>0</v>
      </c>
      <c r="DP117" s="222">
        <v>8176</v>
      </c>
      <c r="DQ117" s="226" t="str">
        <f t="shared" si="135"/>
        <v xml:space="preserve"> </v>
      </c>
      <c r="DR117" s="312">
        <v>8176</v>
      </c>
      <c r="DS117" s="286">
        <f>DM117*Wirtschaftlichkeit!$R$5/Wirtschaftlichkeit!$R$7</f>
        <v>0</v>
      </c>
      <c r="DT117" s="284">
        <f t="shared" si="100"/>
        <v>0</v>
      </c>
      <c r="DV117" s="222">
        <v>8176</v>
      </c>
      <c r="DW117" s="225" t="str">
        <f>IF($C117&gt;=Wirtschaftlichkeit!$S$8,Wirtschaftlichkeit!$S$8,IF(AND($C117&lt;=Wirtschaftlichkeit!$S$8,$C117&gt;=Wirtschaftlichkeit!$S$8*Eingabemaske!$B$18),$C117,"0"))</f>
        <v>0</v>
      </c>
      <c r="DX117" s="222">
        <v>8176</v>
      </c>
      <c r="DY117" s="224">
        <f t="shared" si="101"/>
        <v>0</v>
      </c>
      <c r="DZ117" s="222">
        <v>8176</v>
      </c>
      <c r="EA117" s="226" t="str">
        <f t="shared" si="136"/>
        <v xml:space="preserve"> </v>
      </c>
      <c r="EB117" s="312">
        <v>8176</v>
      </c>
      <c r="EC117" s="286">
        <f>DW117*Wirtschaftlichkeit!$S$5/Wirtschaftlichkeit!$S$7</f>
        <v>0</v>
      </c>
      <c r="ED117" s="284">
        <f t="shared" si="103"/>
        <v>0</v>
      </c>
      <c r="EF117" s="222">
        <v>8176</v>
      </c>
      <c r="EG117" s="225" t="str">
        <f>IF($C117&gt;=Wirtschaftlichkeit!$T$8,Wirtschaftlichkeit!$T$8,IF(AND($C117&lt;=Wirtschaftlichkeit!$T$8,$C117&gt;=Wirtschaftlichkeit!$T$8*Eingabemaske!$B$18),$C117,"0"))</f>
        <v>0</v>
      </c>
      <c r="EH117" s="222">
        <v>8176</v>
      </c>
      <c r="EI117" s="224">
        <f t="shared" si="104"/>
        <v>0</v>
      </c>
      <c r="EJ117" s="222">
        <v>8176</v>
      </c>
      <c r="EK117" s="226" t="str">
        <f t="shared" si="137"/>
        <v xml:space="preserve"> </v>
      </c>
      <c r="EL117" s="312">
        <v>8176</v>
      </c>
      <c r="EM117" s="286">
        <f>EG117*Wirtschaftlichkeit!$T$5/Wirtschaftlichkeit!$T$7</f>
        <v>0</v>
      </c>
      <c r="EN117" s="284">
        <f t="shared" si="106"/>
        <v>0</v>
      </c>
      <c r="EP117" s="222">
        <v>8176</v>
      </c>
      <c r="EQ117" s="225" t="str">
        <f>IF($C117&gt;=Wirtschaftlichkeit!$U$8,Wirtschaftlichkeit!$U$8,IF(AND($C117&lt;=Wirtschaftlichkeit!$U$8,$C117&gt;=Wirtschaftlichkeit!$U$8*Eingabemaske!$B$18),$C117,"0"))</f>
        <v>0</v>
      </c>
      <c r="ER117" s="222">
        <v>8176</v>
      </c>
      <c r="ES117" s="224">
        <f t="shared" si="107"/>
        <v>0</v>
      </c>
      <c r="ET117" s="222">
        <v>8176</v>
      </c>
      <c r="EU117" s="226" t="str">
        <f t="shared" si="138"/>
        <v xml:space="preserve"> </v>
      </c>
      <c r="EV117" s="312">
        <v>8176</v>
      </c>
      <c r="EW117" s="286">
        <f>EQ117*Wirtschaftlichkeit!$U$5/Wirtschaftlichkeit!$U$7</f>
        <v>0</v>
      </c>
      <c r="EX117" s="284">
        <f t="shared" si="109"/>
        <v>0</v>
      </c>
      <c r="EZ117" s="222">
        <v>8176</v>
      </c>
      <c r="FA117" s="225" t="str">
        <f>IF($C117&gt;=Wirtschaftlichkeit!$V$8,Wirtschaftlichkeit!$V$8,IF(AND($C117&lt;=Wirtschaftlichkeit!$V$8,$C117&gt;=Wirtschaftlichkeit!$V$8*Eingabemaske!$B$18),$C117,"0"))</f>
        <v>0</v>
      </c>
      <c r="FB117" s="222">
        <v>8176</v>
      </c>
      <c r="FC117" s="224">
        <f t="shared" si="110"/>
        <v>0</v>
      </c>
      <c r="FD117" s="222">
        <v>8176</v>
      </c>
      <c r="FE117" s="226" t="str">
        <f t="shared" si="139"/>
        <v xml:space="preserve"> </v>
      </c>
      <c r="FF117" s="312">
        <v>8176</v>
      </c>
      <c r="FG117" s="286">
        <f>FA117*Wirtschaftlichkeit!$V$5/Wirtschaftlichkeit!$V$7</f>
        <v>0</v>
      </c>
      <c r="FH117" s="284">
        <f t="shared" si="112"/>
        <v>0</v>
      </c>
      <c r="FJ117" s="222">
        <v>8176</v>
      </c>
      <c r="FK117" s="225" t="str">
        <f>IF($C117&gt;=Wirtschaftlichkeit!$W$8,Wirtschaftlichkeit!$W$8,IF(AND($C117&lt;=Wirtschaftlichkeit!$W$8,$C117&gt;=Wirtschaftlichkeit!$W$8*Eingabemaske!$B$18),$C117,"0"))</f>
        <v>0</v>
      </c>
      <c r="FL117" s="222">
        <v>8176</v>
      </c>
      <c r="FM117" s="224">
        <f t="shared" si="113"/>
        <v>0</v>
      </c>
      <c r="FN117" s="222">
        <v>8176</v>
      </c>
      <c r="FO117" s="226" t="str">
        <f t="shared" si="140"/>
        <v xml:space="preserve"> </v>
      </c>
      <c r="FP117" s="312">
        <v>8176</v>
      </c>
      <c r="FQ117" s="286">
        <f>FK117*Wirtschaftlichkeit!$W$5/Wirtschaftlichkeit!$W$7</f>
        <v>0</v>
      </c>
      <c r="FR117" s="284">
        <f t="shared" si="115"/>
        <v>0</v>
      </c>
      <c r="FT117" s="222">
        <v>8176</v>
      </c>
      <c r="FU117" s="225" t="str">
        <f>IF($C117&gt;=Wirtschaftlichkeit!$X$8,Wirtschaftlichkeit!$X$8,IF(AND($C117&lt;=Wirtschaftlichkeit!$X$8,$C117&gt;=Wirtschaftlichkeit!$X$8*Eingabemaske!$B$18),$C117,"0"))</f>
        <v>0</v>
      </c>
      <c r="FV117" s="222">
        <v>8176</v>
      </c>
      <c r="FW117" s="224">
        <f t="shared" si="116"/>
        <v>0</v>
      </c>
      <c r="FX117" s="222">
        <v>8176</v>
      </c>
      <c r="FY117" s="226" t="str">
        <f t="shared" si="141"/>
        <v xml:space="preserve"> </v>
      </c>
      <c r="FZ117" s="312">
        <v>8176</v>
      </c>
      <c r="GA117" s="286">
        <f>FU117*Wirtschaftlichkeit!$X$5/Wirtschaftlichkeit!$X$7</f>
        <v>0</v>
      </c>
      <c r="GB117" s="284">
        <f t="shared" si="118"/>
        <v>0</v>
      </c>
      <c r="GD117" s="222">
        <v>8176</v>
      </c>
      <c r="GE117" s="225" t="str">
        <f>IF($C117&gt;=Wirtschaftlichkeit!$Y$8,Wirtschaftlichkeit!$Y$8,IF(AND($C117&lt;=Wirtschaftlichkeit!$Y$8,$C117&gt;=Wirtschaftlichkeit!$Y$8*Eingabemaske!$B$18),$C117,"0"))</f>
        <v>0</v>
      </c>
      <c r="GF117" s="222">
        <v>8176</v>
      </c>
      <c r="GG117" s="224">
        <f t="shared" si="119"/>
        <v>0</v>
      </c>
      <c r="GH117" s="222">
        <v>8176</v>
      </c>
      <c r="GI117" s="226" t="str">
        <f t="shared" si="142"/>
        <v xml:space="preserve"> </v>
      </c>
      <c r="GJ117" s="312">
        <v>8176</v>
      </c>
      <c r="GK117" s="286">
        <f>GE117*Wirtschaftlichkeit!$Y$5/Wirtschaftlichkeit!$Y$7</f>
        <v>0</v>
      </c>
      <c r="GL117" s="284">
        <f t="shared" si="121"/>
        <v>0</v>
      </c>
      <c r="GN117" s="222">
        <v>8176</v>
      </c>
      <c r="GO117" s="225" t="str">
        <f>IF($C117&gt;=Wirtschaftlichkeit!$Z$8,Wirtschaftlichkeit!$Z$8,IF(AND($C117&lt;=Wirtschaftlichkeit!$Z$8,$C117&gt;=Wirtschaftlichkeit!$Z$8*Eingabemaske!$B$18),$C117,"0"))</f>
        <v>0</v>
      </c>
      <c r="GP117" s="222">
        <v>8176</v>
      </c>
      <c r="GQ117" s="224">
        <f t="shared" si="122"/>
        <v>0</v>
      </c>
      <c r="GR117" s="222">
        <v>8176</v>
      </c>
      <c r="GS117" s="226" t="str">
        <f t="shared" si="143"/>
        <v xml:space="preserve"> </v>
      </c>
      <c r="GT117" s="312">
        <v>8176</v>
      </c>
      <c r="GU117" s="286">
        <f>GO117*Wirtschaftlichkeit!$Z$5/Wirtschaftlichkeit!$Z$7</f>
        <v>0</v>
      </c>
      <c r="GV117" s="284">
        <f t="shared" si="124"/>
        <v>0</v>
      </c>
      <c r="GW117" s="266"/>
      <c r="GX117" s="258">
        <v>8176</v>
      </c>
      <c r="GY117" s="270" t="str">
        <f>IF(Berechnung_Diagramme!$C$28=Berechnungen_Lastgang!$F$2,Berechnungen_Lastgang!G117,IF(Berechnung_Diagramme!$C$28=Berechnungen_Lastgang!$P$2,Berechnungen_Lastgang!Q117,IF(Berechnung_Diagramme!$C$28=Berechnungen_Lastgang!$Z$2,Berechnungen_Lastgang!AA117,IF(Berechnung_Diagramme!$C$28=Berechnungen_Lastgang!$AJ$2,Berechnungen_Lastgang!AK117,IF(Berechnung_Diagramme!$C$28=Berechnungen_Lastgang!$AT$2,Berechnungen_Lastgang!AU117,IF(Berechnung_Diagramme!$C$28=Berechnungen_Lastgang!$BD$2,Berechnungen_Lastgang!BE117,IF(Berechnung_Diagramme!$C$28=Berechnungen_Lastgang!$BN$2,Berechnungen_Lastgang!BO117,IF(Berechnung_Diagramme!$C$28=Berechnungen_Lastgang!$BX$2,Berechnungen_Lastgang!BY117,IF(Berechnung_Diagramme!$C$28=Berechnungen_Lastgang!$CH$2,Berechnungen_Lastgang!CI117,IF(Berechnung_Diagramme!$C$28=Berechnungen_Lastgang!$CR$2,Berechnungen_Lastgang!CS117,IF(Berechnung_Diagramme!$C$28=Berechnungen_Lastgang!$DB$2,Berechnungen_Lastgang!DC117,IF(Berechnung_Diagramme!$C$28=Berechnungen_Lastgang!$DL$2,Berechnungen_Lastgang!DM117,IF(Berechnung_Diagramme!$C$28=Berechnungen_Lastgang!$DV$2,Berechnungen_Lastgang!DW117,IF(Berechnung_Diagramme!$C$28=Berechnungen_Lastgang!$EF$2,Berechnungen_Lastgang!EG117,IF(Berechnung_Diagramme!$C$28=Berechnungen_Lastgang!$EP$2,Berechnungen_Lastgang!EQ117,IF(Berechnung_Diagramme!$C$28=Berechnungen_Lastgang!$EZ$2,Berechnungen_Lastgang!FA117,IF(Berechnung_Diagramme!$C$28=Berechnungen_Lastgang!$FJ$2,Berechnungen_Lastgang!FK117,IF(Berechnung_Diagramme!$C$28=Berechnungen_Lastgang!$FT$2,Berechnungen_Lastgang!FU117,IF(Berechnung_Diagramme!$C$28=Berechnungen_Lastgang!$GD$2,Berechnungen_Lastgang!GE117,IF(Berechnung_Diagramme!$C$28=Berechnungen_Lastgang!$GN$2,Berechnungen_Lastgang!GO117,""))))))))))))))))))))</f>
        <v>0</v>
      </c>
    </row>
    <row r="118" spans="2:207" x14ac:dyDescent="0.25">
      <c r="B118" s="64">
        <v>8249</v>
      </c>
      <c r="C118" s="67">
        <f>C117+((C120-C117)/(B120-B117))*(B118-B117)</f>
        <v>1.4489999999999998</v>
      </c>
      <c r="D118" s="66">
        <f t="shared" si="144"/>
        <v>98.221499999999992</v>
      </c>
      <c r="F118" s="64">
        <v>8249</v>
      </c>
      <c r="G118" s="225">
        <f>IF($C118&gt;=Wirtschaftlichkeit!$G$8,Wirtschaftlichkeit!$G$8,IF(AND($C118&lt;=Wirtschaftlichkeit!$G$8,$C118&gt;=Wirtschaftlichkeit!$G$8*Eingabemaske!$B$18),$C118,"0"))</f>
        <v>1.4489999999999998</v>
      </c>
      <c r="H118" s="64">
        <v>8249</v>
      </c>
      <c r="I118" s="66">
        <f t="shared" si="145"/>
        <v>52.888499999999993</v>
      </c>
      <c r="J118" s="64">
        <v>8249</v>
      </c>
      <c r="K118" s="71">
        <f t="shared" si="146"/>
        <v>1.4489999999999998</v>
      </c>
      <c r="L118" s="312">
        <v>8249</v>
      </c>
      <c r="M118" s="286">
        <f>G118*Wirtschaftlichkeit!$G$5/Wirtschaftlichkeit!$G$7</f>
        <v>0.51141176470588223</v>
      </c>
      <c r="N118" s="284">
        <f t="shared" si="67"/>
        <v>18.666529411764703</v>
      </c>
      <c r="P118" s="222">
        <v>8249</v>
      </c>
      <c r="Q118" s="225" t="str">
        <f>IF($C118&gt;=Wirtschaftlichkeit!$H$8,Wirtschaftlichkeit!$H$8,IF(AND($C118&lt;=Wirtschaftlichkeit!$H$8,$C118&gt;=Wirtschaftlichkeit!$H$8*Eingabemaske!$B$18),$C118,"0"))</f>
        <v>0</v>
      </c>
      <c r="R118" s="222">
        <v>8249</v>
      </c>
      <c r="S118" s="224">
        <f t="shared" si="68"/>
        <v>0</v>
      </c>
      <c r="T118" s="222">
        <v>8249</v>
      </c>
      <c r="U118" s="226" t="str">
        <f t="shared" si="125"/>
        <v xml:space="preserve"> </v>
      </c>
      <c r="V118" s="312">
        <v>8249</v>
      </c>
      <c r="W118" s="286">
        <f>Q118*Wirtschaftlichkeit!$H$5/Wirtschaftlichkeit!$H$7</f>
        <v>0</v>
      </c>
      <c r="X118" s="284">
        <f t="shared" si="70"/>
        <v>0</v>
      </c>
      <c r="Z118" s="222">
        <v>8249</v>
      </c>
      <c r="AA118" s="225" t="str">
        <f>IF($C118&gt;=Wirtschaftlichkeit!$I$8,Wirtschaftlichkeit!$I$8,IF(AND($C118&lt;=Wirtschaftlichkeit!$I$8,$C118&gt;=Wirtschaftlichkeit!$I$8*Eingabemaske!$B$18),$C118,"0"))</f>
        <v>0</v>
      </c>
      <c r="AB118" s="222">
        <v>8249</v>
      </c>
      <c r="AC118" s="224">
        <f t="shared" si="71"/>
        <v>0</v>
      </c>
      <c r="AD118" s="222">
        <v>8249</v>
      </c>
      <c r="AE118" s="226" t="str">
        <f t="shared" si="126"/>
        <v xml:space="preserve"> </v>
      </c>
      <c r="AF118" s="312">
        <v>8249</v>
      </c>
      <c r="AG118" s="286">
        <f>AA118*Wirtschaftlichkeit!$I$5/Wirtschaftlichkeit!$I$7</f>
        <v>0</v>
      </c>
      <c r="AH118" s="284">
        <f t="shared" si="73"/>
        <v>0</v>
      </c>
      <c r="AJ118" s="222">
        <v>8249</v>
      </c>
      <c r="AK118" s="225" t="str">
        <f>IF($C118&gt;=Wirtschaftlichkeit!$J$8,Wirtschaftlichkeit!$J$8,IF(AND($C118&lt;=Wirtschaftlichkeit!$J$8,$C118&gt;=Wirtschaftlichkeit!$J$8*Eingabemaske!$B$18),$C118,"0"))</f>
        <v>0</v>
      </c>
      <c r="AL118" s="222">
        <v>8249</v>
      </c>
      <c r="AM118" s="224">
        <f t="shared" si="74"/>
        <v>0</v>
      </c>
      <c r="AN118" s="222">
        <v>8249</v>
      </c>
      <c r="AO118" s="226" t="str">
        <f t="shared" si="127"/>
        <v xml:space="preserve"> </v>
      </c>
      <c r="AP118" s="312">
        <v>8249</v>
      </c>
      <c r="AQ118" s="286">
        <f>AK118*Wirtschaftlichkeit!$J$5/Wirtschaftlichkeit!$J$7</f>
        <v>0</v>
      </c>
      <c r="AR118" s="284">
        <f t="shared" si="76"/>
        <v>0</v>
      </c>
      <c r="AT118" s="222">
        <v>8249</v>
      </c>
      <c r="AU118" s="225" t="str">
        <f>IF($C118&gt;=Wirtschaftlichkeit!$K$8,Wirtschaftlichkeit!$K$8,IF(AND($C118&lt;=Wirtschaftlichkeit!$K$8,$C118&gt;=Wirtschaftlichkeit!$K$8*Eingabemaske!$B$18),$C118,"0"))</f>
        <v>0</v>
      </c>
      <c r="AV118" s="222">
        <v>8249</v>
      </c>
      <c r="AW118" s="224">
        <f t="shared" si="77"/>
        <v>0</v>
      </c>
      <c r="AX118" s="222">
        <v>8249</v>
      </c>
      <c r="AY118" s="226" t="str">
        <f t="shared" si="128"/>
        <v xml:space="preserve"> </v>
      </c>
      <c r="AZ118" s="312">
        <v>8249</v>
      </c>
      <c r="BA118" s="286">
        <f>AU118*Wirtschaftlichkeit!$K$5/Wirtschaftlichkeit!$K$7</f>
        <v>0</v>
      </c>
      <c r="BB118" s="284">
        <f t="shared" si="79"/>
        <v>0</v>
      </c>
      <c r="BD118" s="222">
        <v>8249</v>
      </c>
      <c r="BE118" s="225" t="str">
        <f>IF($C118&gt;=Wirtschaftlichkeit!$L$8,Wirtschaftlichkeit!$L$8,IF(AND($C118&lt;=Wirtschaftlichkeit!$L$8,$C118&gt;=Wirtschaftlichkeit!$L$8*Eingabemaske!$B$18),$C118,"0"))</f>
        <v>0</v>
      </c>
      <c r="BF118" s="222">
        <v>8249</v>
      </c>
      <c r="BG118" s="224">
        <f t="shared" si="80"/>
        <v>0</v>
      </c>
      <c r="BH118" s="222">
        <v>8249</v>
      </c>
      <c r="BI118" s="226" t="str">
        <f t="shared" si="129"/>
        <v xml:space="preserve"> </v>
      </c>
      <c r="BJ118" s="312">
        <v>8249</v>
      </c>
      <c r="BK118" s="286">
        <f>BE118*Wirtschaftlichkeit!$L$5/Wirtschaftlichkeit!$L$7</f>
        <v>0</v>
      </c>
      <c r="BL118" s="284">
        <f t="shared" si="82"/>
        <v>0</v>
      </c>
      <c r="BN118" s="222">
        <v>8249</v>
      </c>
      <c r="BO118" s="225" t="str">
        <f>IF($C118&gt;=Wirtschaftlichkeit!$M$8,Wirtschaftlichkeit!$M$8,IF(AND($C118&lt;=Wirtschaftlichkeit!$M$8,$C118&gt;=Wirtschaftlichkeit!$M$8*Eingabemaske!$B$18),$C118,"0"))</f>
        <v>0</v>
      </c>
      <c r="BP118" s="222">
        <v>8249</v>
      </c>
      <c r="BQ118" s="224">
        <f t="shared" si="83"/>
        <v>0</v>
      </c>
      <c r="BR118" s="222">
        <v>8249</v>
      </c>
      <c r="BS118" s="226" t="str">
        <f t="shared" si="130"/>
        <v xml:space="preserve"> </v>
      </c>
      <c r="BT118" s="312">
        <v>8249</v>
      </c>
      <c r="BU118" s="286">
        <f>BO118*Wirtschaftlichkeit!$M$5/Wirtschaftlichkeit!$M$7</f>
        <v>0</v>
      </c>
      <c r="BV118" s="284">
        <f t="shared" si="85"/>
        <v>0</v>
      </c>
      <c r="BX118" s="222">
        <v>8249</v>
      </c>
      <c r="BY118" s="225" t="str">
        <f>IF($C118&gt;=Wirtschaftlichkeit!$N$8,Wirtschaftlichkeit!$N$8,IF(AND($C118&lt;=Wirtschaftlichkeit!$N$8,$C118&gt;=Wirtschaftlichkeit!$N$8*Eingabemaske!$B$18),$C118,"0"))</f>
        <v>0</v>
      </c>
      <c r="BZ118" s="222">
        <v>8249</v>
      </c>
      <c r="CA118" s="224">
        <f t="shared" si="86"/>
        <v>0</v>
      </c>
      <c r="CB118" s="222">
        <v>8249</v>
      </c>
      <c r="CC118" s="226" t="str">
        <f t="shared" si="131"/>
        <v xml:space="preserve"> </v>
      </c>
      <c r="CD118" s="312">
        <v>8249</v>
      </c>
      <c r="CE118" s="286">
        <f>BY118*Wirtschaftlichkeit!$N$5/Wirtschaftlichkeit!$N$7</f>
        <v>0</v>
      </c>
      <c r="CF118" s="284">
        <f t="shared" si="88"/>
        <v>0</v>
      </c>
      <c r="CH118" s="222">
        <v>8249</v>
      </c>
      <c r="CI118" s="225" t="str">
        <f>IF($C118&gt;=Wirtschaftlichkeit!$O$8,Wirtschaftlichkeit!$O$8,IF(AND($C118&lt;=Wirtschaftlichkeit!$O$8,$C118&gt;=Wirtschaftlichkeit!$O$8*Eingabemaske!$B$18),$C118,"0"))</f>
        <v>0</v>
      </c>
      <c r="CJ118" s="222">
        <v>8249</v>
      </c>
      <c r="CK118" s="224">
        <f t="shared" si="89"/>
        <v>0</v>
      </c>
      <c r="CL118" s="222">
        <v>8249</v>
      </c>
      <c r="CM118" s="226" t="str">
        <f t="shared" si="132"/>
        <v xml:space="preserve"> </v>
      </c>
      <c r="CN118" s="312">
        <v>8249</v>
      </c>
      <c r="CO118" s="286">
        <f>CI118*Wirtschaftlichkeit!$O$5/Wirtschaftlichkeit!$O$7</f>
        <v>0</v>
      </c>
      <c r="CP118" s="284">
        <f t="shared" si="91"/>
        <v>0</v>
      </c>
      <c r="CR118" s="222">
        <v>8249</v>
      </c>
      <c r="CS118" s="225" t="str">
        <f>IF($C118&gt;=Wirtschaftlichkeit!$P$8,Wirtschaftlichkeit!$P$8,IF(AND($C118&lt;=Wirtschaftlichkeit!$P$8,$C118&gt;=Wirtschaftlichkeit!$P$8*Eingabemaske!$B$18),$C118,"0"))</f>
        <v>0</v>
      </c>
      <c r="CT118" s="222">
        <v>8249</v>
      </c>
      <c r="CU118" s="224">
        <f t="shared" si="92"/>
        <v>0</v>
      </c>
      <c r="CV118" s="222">
        <v>8249</v>
      </c>
      <c r="CW118" s="226" t="str">
        <f t="shared" si="133"/>
        <v xml:space="preserve"> </v>
      </c>
      <c r="CX118" s="312">
        <v>8249</v>
      </c>
      <c r="CY118" s="286">
        <f>CS118*Wirtschaftlichkeit!$P$5/Wirtschaftlichkeit!$P$7</f>
        <v>0</v>
      </c>
      <c r="CZ118" s="284">
        <f t="shared" si="94"/>
        <v>0</v>
      </c>
      <c r="DB118" s="222">
        <v>8249</v>
      </c>
      <c r="DC118" s="225" t="str">
        <f>IF($C118&gt;=Wirtschaftlichkeit!$Q$8,Wirtschaftlichkeit!$Q$8,IF(AND($C118&lt;=Wirtschaftlichkeit!$Q$8,$C118&gt;=Wirtschaftlichkeit!$Q$8*Eingabemaske!$B$18),$C118,"0"))</f>
        <v>0</v>
      </c>
      <c r="DD118" s="222">
        <v>8249</v>
      </c>
      <c r="DE118" s="224">
        <f t="shared" si="95"/>
        <v>0</v>
      </c>
      <c r="DF118" s="222">
        <v>8249</v>
      </c>
      <c r="DG118" s="226" t="str">
        <f t="shared" si="134"/>
        <v xml:space="preserve"> </v>
      </c>
      <c r="DH118" s="312">
        <v>8249</v>
      </c>
      <c r="DI118" s="286">
        <f>DC118*Wirtschaftlichkeit!$Q$5/Wirtschaftlichkeit!$Q$7</f>
        <v>0</v>
      </c>
      <c r="DJ118" s="284">
        <f t="shared" si="97"/>
        <v>0</v>
      </c>
      <c r="DL118" s="222">
        <v>8249</v>
      </c>
      <c r="DM118" s="225" t="str">
        <f>IF($C118&gt;=Wirtschaftlichkeit!$R$8,Wirtschaftlichkeit!$R$8,IF(AND($C118&lt;=Wirtschaftlichkeit!$R$8,$C118&gt;=Wirtschaftlichkeit!$R$8*Eingabemaske!$B$18),$C118,"0"))</f>
        <v>0</v>
      </c>
      <c r="DN118" s="222">
        <v>8249</v>
      </c>
      <c r="DO118" s="224">
        <f t="shared" si="98"/>
        <v>0</v>
      </c>
      <c r="DP118" s="222">
        <v>8249</v>
      </c>
      <c r="DQ118" s="226" t="str">
        <f t="shared" si="135"/>
        <v xml:space="preserve"> </v>
      </c>
      <c r="DR118" s="312">
        <v>8249</v>
      </c>
      <c r="DS118" s="286">
        <f>DM118*Wirtschaftlichkeit!$R$5/Wirtschaftlichkeit!$R$7</f>
        <v>0</v>
      </c>
      <c r="DT118" s="284">
        <f t="shared" si="100"/>
        <v>0</v>
      </c>
      <c r="DV118" s="222">
        <v>8249</v>
      </c>
      <c r="DW118" s="225" t="str">
        <f>IF($C118&gt;=Wirtschaftlichkeit!$S$8,Wirtschaftlichkeit!$S$8,IF(AND($C118&lt;=Wirtschaftlichkeit!$S$8,$C118&gt;=Wirtschaftlichkeit!$S$8*Eingabemaske!$B$18),$C118,"0"))</f>
        <v>0</v>
      </c>
      <c r="DX118" s="222">
        <v>8249</v>
      </c>
      <c r="DY118" s="224">
        <f t="shared" si="101"/>
        <v>0</v>
      </c>
      <c r="DZ118" s="222">
        <v>8249</v>
      </c>
      <c r="EA118" s="226" t="str">
        <f t="shared" si="136"/>
        <v xml:space="preserve"> </v>
      </c>
      <c r="EB118" s="312">
        <v>8249</v>
      </c>
      <c r="EC118" s="286">
        <f>DW118*Wirtschaftlichkeit!$S$5/Wirtschaftlichkeit!$S$7</f>
        <v>0</v>
      </c>
      <c r="ED118" s="284">
        <f t="shared" si="103"/>
        <v>0</v>
      </c>
      <c r="EF118" s="222">
        <v>8249</v>
      </c>
      <c r="EG118" s="225" t="str">
        <f>IF($C118&gt;=Wirtschaftlichkeit!$T$8,Wirtschaftlichkeit!$T$8,IF(AND($C118&lt;=Wirtschaftlichkeit!$T$8,$C118&gt;=Wirtschaftlichkeit!$T$8*Eingabemaske!$B$18),$C118,"0"))</f>
        <v>0</v>
      </c>
      <c r="EH118" s="222">
        <v>8249</v>
      </c>
      <c r="EI118" s="224">
        <f t="shared" si="104"/>
        <v>0</v>
      </c>
      <c r="EJ118" s="222">
        <v>8249</v>
      </c>
      <c r="EK118" s="226" t="str">
        <f t="shared" si="137"/>
        <v xml:space="preserve"> </v>
      </c>
      <c r="EL118" s="312">
        <v>8249</v>
      </c>
      <c r="EM118" s="286">
        <f>EG118*Wirtschaftlichkeit!$T$5/Wirtschaftlichkeit!$T$7</f>
        <v>0</v>
      </c>
      <c r="EN118" s="284">
        <f t="shared" si="106"/>
        <v>0</v>
      </c>
      <c r="EP118" s="222">
        <v>8249</v>
      </c>
      <c r="EQ118" s="225" t="str">
        <f>IF($C118&gt;=Wirtschaftlichkeit!$U$8,Wirtschaftlichkeit!$U$8,IF(AND($C118&lt;=Wirtschaftlichkeit!$U$8,$C118&gt;=Wirtschaftlichkeit!$U$8*Eingabemaske!$B$18),$C118,"0"))</f>
        <v>0</v>
      </c>
      <c r="ER118" s="222">
        <v>8249</v>
      </c>
      <c r="ES118" s="224">
        <f t="shared" si="107"/>
        <v>0</v>
      </c>
      <c r="ET118" s="222">
        <v>8249</v>
      </c>
      <c r="EU118" s="226" t="str">
        <f t="shared" si="138"/>
        <v xml:space="preserve"> </v>
      </c>
      <c r="EV118" s="312">
        <v>8249</v>
      </c>
      <c r="EW118" s="286">
        <f>EQ118*Wirtschaftlichkeit!$U$5/Wirtschaftlichkeit!$U$7</f>
        <v>0</v>
      </c>
      <c r="EX118" s="284">
        <f t="shared" si="109"/>
        <v>0</v>
      </c>
      <c r="EZ118" s="222">
        <v>8249</v>
      </c>
      <c r="FA118" s="225" t="str">
        <f>IF($C118&gt;=Wirtschaftlichkeit!$V$8,Wirtschaftlichkeit!$V$8,IF(AND($C118&lt;=Wirtschaftlichkeit!$V$8,$C118&gt;=Wirtschaftlichkeit!$V$8*Eingabemaske!$B$18),$C118,"0"))</f>
        <v>0</v>
      </c>
      <c r="FB118" s="222">
        <v>8249</v>
      </c>
      <c r="FC118" s="224">
        <f t="shared" si="110"/>
        <v>0</v>
      </c>
      <c r="FD118" s="222">
        <v>8249</v>
      </c>
      <c r="FE118" s="226" t="str">
        <f t="shared" si="139"/>
        <v xml:space="preserve"> </v>
      </c>
      <c r="FF118" s="312">
        <v>8249</v>
      </c>
      <c r="FG118" s="286">
        <f>FA118*Wirtschaftlichkeit!$V$5/Wirtschaftlichkeit!$V$7</f>
        <v>0</v>
      </c>
      <c r="FH118" s="284">
        <f t="shared" si="112"/>
        <v>0</v>
      </c>
      <c r="FJ118" s="222">
        <v>8249</v>
      </c>
      <c r="FK118" s="225" t="str">
        <f>IF($C118&gt;=Wirtschaftlichkeit!$W$8,Wirtschaftlichkeit!$W$8,IF(AND($C118&lt;=Wirtschaftlichkeit!$W$8,$C118&gt;=Wirtschaftlichkeit!$W$8*Eingabemaske!$B$18),$C118,"0"))</f>
        <v>0</v>
      </c>
      <c r="FL118" s="222">
        <v>8249</v>
      </c>
      <c r="FM118" s="224">
        <f t="shared" si="113"/>
        <v>0</v>
      </c>
      <c r="FN118" s="222">
        <v>8249</v>
      </c>
      <c r="FO118" s="226" t="str">
        <f t="shared" si="140"/>
        <v xml:space="preserve"> </v>
      </c>
      <c r="FP118" s="312">
        <v>8249</v>
      </c>
      <c r="FQ118" s="286">
        <f>FK118*Wirtschaftlichkeit!$W$5/Wirtschaftlichkeit!$W$7</f>
        <v>0</v>
      </c>
      <c r="FR118" s="284">
        <f t="shared" si="115"/>
        <v>0</v>
      </c>
      <c r="FT118" s="222">
        <v>8249</v>
      </c>
      <c r="FU118" s="225" t="str">
        <f>IF($C118&gt;=Wirtschaftlichkeit!$X$8,Wirtschaftlichkeit!$X$8,IF(AND($C118&lt;=Wirtschaftlichkeit!$X$8,$C118&gt;=Wirtschaftlichkeit!$X$8*Eingabemaske!$B$18),$C118,"0"))</f>
        <v>0</v>
      </c>
      <c r="FV118" s="222">
        <v>8249</v>
      </c>
      <c r="FW118" s="224">
        <f t="shared" si="116"/>
        <v>0</v>
      </c>
      <c r="FX118" s="222">
        <v>8249</v>
      </c>
      <c r="FY118" s="226" t="str">
        <f t="shared" si="141"/>
        <v xml:space="preserve"> </v>
      </c>
      <c r="FZ118" s="312">
        <v>8249</v>
      </c>
      <c r="GA118" s="286">
        <f>FU118*Wirtschaftlichkeit!$X$5/Wirtschaftlichkeit!$X$7</f>
        <v>0</v>
      </c>
      <c r="GB118" s="284">
        <f t="shared" si="118"/>
        <v>0</v>
      </c>
      <c r="GD118" s="222">
        <v>8249</v>
      </c>
      <c r="GE118" s="225" t="str">
        <f>IF($C118&gt;=Wirtschaftlichkeit!$Y$8,Wirtschaftlichkeit!$Y$8,IF(AND($C118&lt;=Wirtschaftlichkeit!$Y$8,$C118&gt;=Wirtschaftlichkeit!$Y$8*Eingabemaske!$B$18),$C118,"0"))</f>
        <v>0</v>
      </c>
      <c r="GF118" s="222">
        <v>8249</v>
      </c>
      <c r="GG118" s="224">
        <f t="shared" si="119"/>
        <v>0</v>
      </c>
      <c r="GH118" s="222">
        <v>8249</v>
      </c>
      <c r="GI118" s="226" t="str">
        <f t="shared" si="142"/>
        <v xml:space="preserve"> </v>
      </c>
      <c r="GJ118" s="312">
        <v>8249</v>
      </c>
      <c r="GK118" s="286">
        <f>GE118*Wirtschaftlichkeit!$Y$5/Wirtschaftlichkeit!$Y$7</f>
        <v>0</v>
      </c>
      <c r="GL118" s="284">
        <f t="shared" si="121"/>
        <v>0</v>
      </c>
      <c r="GN118" s="222">
        <v>8249</v>
      </c>
      <c r="GO118" s="225" t="str">
        <f>IF($C118&gt;=Wirtschaftlichkeit!$Z$8,Wirtschaftlichkeit!$Z$8,IF(AND($C118&lt;=Wirtschaftlichkeit!$Z$8,$C118&gt;=Wirtschaftlichkeit!$Z$8*Eingabemaske!$B$18),$C118,"0"))</f>
        <v>0</v>
      </c>
      <c r="GP118" s="222">
        <v>8249</v>
      </c>
      <c r="GQ118" s="224">
        <f t="shared" si="122"/>
        <v>0</v>
      </c>
      <c r="GR118" s="222">
        <v>8249</v>
      </c>
      <c r="GS118" s="226" t="str">
        <f t="shared" si="143"/>
        <v xml:space="preserve"> </v>
      </c>
      <c r="GT118" s="312">
        <v>8249</v>
      </c>
      <c r="GU118" s="286">
        <f>GO118*Wirtschaftlichkeit!$Z$5/Wirtschaftlichkeit!$Z$7</f>
        <v>0</v>
      </c>
      <c r="GV118" s="284">
        <f t="shared" si="124"/>
        <v>0</v>
      </c>
      <c r="GW118" s="266"/>
      <c r="GX118" s="258">
        <v>8249</v>
      </c>
      <c r="GY118" s="270" t="str">
        <f>IF(Berechnung_Diagramme!$C$28=Berechnungen_Lastgang!$F$2,Berechnungen_Lastgang!G118,IF(Berechnung_Diagramme!$C$28=Berechnungen_Lastgang!$P$2,Berechnungen_Lastgang!Q118,IF(Berechnung_Diagramme!$C$28=Berechnungen_Lastgang!$Z$2,Berechnungen_Lastgang!AA118,IF(Berechnung_Diagramme!$C$28=Berechnungen_Lastgang!$AJ$2,Berechnungen_Lastgang!AK118,IF(Berechnung_Diagramme!$C$28=Berechnungen_Lastgang!$AT$2,Berechnungen_Lastgang!AU118,IF(Berechnung_Diagramme!$C$28=Berechnungen_Lastgang!$BD$2,Berechnungen_Lastgang!BE118,IF(Berechnung_Diagramme!$C$28=Berechnungen_Lastgang!$BN$2,Berechnungen_Lastgang!BO118,IF(Berechnung_Diagramme!$C$28=Berechnungen_Lastgang!$BX$2,Berechnungen_Lastgang!BY118,IF(Berechnung_Diagramme!$C$28=Berechnungen_Lastgang!$CH$2,Berechnungen_Lastgang!CI118,IF(Berechnung_Diagramme!$C$28=Berechnungen_Lastgang!$CR$2,Berechnungen_Lastgang!CS118,IF(Berechnung_Diagramme!$C$28=Berechnungen_Lastgang!$DB$2,Berechnungen_Lastgang!DC118,IF(Berechnung_Diagramme!$C$28=Berechnungen_Lastgang!$DL$2,Berechnungen_Lastgang!DM118,IF(Berechnung_Diagramme!$C$28=Berechnungen_Lastgang!$DV$2,Berechnungen_Lastgang!DW118,IF(Berechnung_Diagramme!$C$28=Berechnungen_Lastgang!$EF$2,Berechnungen_Lastgang!EG118,IF(Berechnung_Diagramme!$C$28=Berechnungen_Lastgang!$EP$2,Berechnungen_Lastgang!EQ118,IF(Berechnung_Diagramme!$C$28=Berechnungen_Lastgang!$EZ$2,Berechnungen_Lastgang!FA118,IF(Berechnung_Diagramme!$C$28=Berechnungen_Lastgang!$FJ$2,Berechnungen_Lastgang!FK118,IF(Berechnung_Diagramme!$C$28=Berechnungen_Lastgang!$FT$2,Berechnungen_Lastgang!FU118,IF(Berechnung_Diagramme!$C$28=Berechnungen_Lastgang!$GD$2,Berechnungen_Lastgang!GE118,IF(Berechnung_Diagramme!$C$28=Berechnungen_Lastgang!$GN$2,Berechnungen_Lastgang!GO118,""))))))))))))))))))))</f>
        <v>0</v>
      </c>
    </row>
    <row r="119" spans="2:207" x14ac:dyDescent="0.25">
      <c r="B119" s="64">
        <v>8322</v>
      </c>
      <c r="C119" s="67">
        <f>C118+((C120-C118)/(B120-B118))*(B119-B118)</f>
        <v>1.242</v>
      </c>
      <c r="D119" s="66">
        <f t="shared" si="144"/>
        <v>83.110500000000002</v>
      </c>
      <c r="F119" s="64">
        <v>8322</v>
      </c>
      <c r="G119" s="225" t="str">
        <f>IF($C119&gt;=Wirtschaftlichkeit!$G$8,Wirtschaftlichkeit!$G$8,IF(AND($C119&lt;=Wirtschaftlichkeit!$G$8,$C119&gt;=Wirtschaftlichkeit!$G$8*Eingabemaske!$B$18),$C119,"0"))</f>
        <v>0</v>
      </c>
      <c r="H119" s="64">
        <v>8322</v>
      </c>
      <c r="I119" s="66">
        <f t="shared" si="145"/>
        <v>0</v>
      </c>
      <c r="J119" s="64">
        <v>8322</v>
      </c>
      <c r="K119" s="71" t="str">
        <f t="shared" si="146"/>
        <v xml:space="preserve"> </v>
      </c>
      <c r="L119" s="312">
        <v>8322</v>
      </c>
      <c r="M119" s="286">
        <f>G119*Wirtschaftlichkeit!$G$5/Wirtschaftlichkeit!$G$7</f>
        <v>0</v>
      </c>
      <c r="N119" s="284">
        <f t="shared" si="67"/>
        <v>0</v>
      </c>
      <c r="P119" s="222">
        <v>8322</v>
      </c>
      <c r="Q119" s="225" t="str">
        <f>IF($C119&gt;=Wirtschaftlichkeit!$H$8,Wirtschaftlichkeit!$H$8,IF(AND($C119&lt;=Wirtschaftlichkeit!$H$8,$C119&gt;=Wirtschaftlichkeit!$H$8*Eingabemaske!$B$18),$C119,"0"))</f>
        <v>0</v>
      </c>
      <c r="R119" s="222">
        <v>8322</v>
      </c>
      <c r="S119" s="224">
        <f t="shared" si="68"/>
        <v>0</v>
      </c>
      <c r="T119" s="222">
        <v>8322</v>
      </c>
      <c r="U119" s="226" t="str">
        <f t="shared" si="125"/>
        <v xml:space="preserve"> </v>
      </c>
      <c r="V119" s="312">
        <v>8322</v>
      </c>
      <c r="W119" s="286">
        <f>Q119*Wirtschaftlichkeit!$H$5/Wirtschaftlichkeit!$H$7</f>
        <v>0</v>
      </c>
      <c r="X119" s="284">
        <f t="shared" si="70"/>
        <v>0</v>
      </c>
      <c r="Z119" s="222">
        <v>8322</v>
      </c>
      <c r="AA119" s="225" t="str">
        <f>IF($C119&gt;=Wirtschaftlichkeit!$I$8,Wirtschaftlichkeit!$I$8,IF(AND($C119&lt;=Wirtschaftlichkeit!$I$8,$C119&gt;=Wirtschaftlichkeit!$I$8*Eingabemaske!$B$18),$C119,"0"))</f>
        <v>0</v>
      </c>
      <c r="AB119" s="222">
        <v>8322</v>
      </c>
      <c r="AC119" s="224">
        <f t="shared" si="71"/>
        <v>0</v>
      </c>
      <c r="AD119" s="222">
        <v>8322</v>
      </c>
      <c r="AE119" s="226" t="str">
        <f t="shared" si="126"/>
        <v xml:space="preserve"> </v>
      </c>
      <c r="AF119" s="312">
        <v>8322</v>
      </c>
      <c r="AG119" s="286">
        <f>AA119*Wirtschaftlichkeit!$I$5/Wirtschaftlichkeit!$I$7</f>
        <v>0</v>
      </c>
      <c r="AH119" s="284">
        <f t="shared" si="73"/>
        <v>0</v>
      </c>
      <c r="AJ119" s="222">
        <v>8322</v>
      </c>
      <c r="AK119" s="225" t="str">
        <f>IF($C119&gt;=Wirtschaftlichkeit!$J$8,Wirtschaftlichkeit!$J$8,IF(AND($C119&lt;=Wirtschaftlichkeit!$J$8,$C119&gt;=Wirtschaftlichkeit!$J$8*Eingabemaske!$B$18),$C119,"0"))</f>
        <v>0</v>
      </c>
      <c r="AL119" s="222">
        <v>8322</v>
      </c>
      <c r="AM119" s="224">
        <f t="shared" si="74"/>
        <v>0</v>
      </c>
      <c r="AN119" s="222">
        <v>8322</v>
      </c>
      <c r="AO119" s="226" t="str">
        <f t="shared" si="127"/>
        <v xml:space="preserve"> </v>
      </c>
      <c r="AP119" s="312">
        <v>8322</v>
      </c>
      <c r="AQ119" s="286">
        <f>AK119*Wirtschaftlichkeit!$J$5/Wirtschaftlichkeit!$J$7</f>
        <v>0</v>
      </c>
      <c r="AR119" s="284">
        <f t="shared" si="76"/>
        <v>0</v>
      </c>
      <c r="AT119" s="222">
        <v>8322</v>
      </c>
      <c r="AU119" s="225" t="str">
        <f>IF($C119&gt;=Wirtschaftlichkeit!$K$8,Wirtschaftlichkeit!$K$8,IF(AND($C119&lt;=Wirtschaftlichkeit!$K$8,$C119&gt;=Wirtschaftlichkeit!$K$8*Eingabemaske!$B$18),$C119,"0"))</f>
        <v>0</v>
      </c>
      <c r="AV119" s="222">
        <v>8322</v>
      </c>
      <c r="AW119" s="224">
        <f t="shared" si="77"/>
        <v>0</v>
      </c>
      <c r="AX119" s="222">
        <v>8322</v>
      </c>
      <c r="AY119" s="226" t="str">
        <f t="shared" si="128"/>
        <v xml:space="preserve"> </v>
      </c>
      <c r="AZ119" s="312">
        <v>8322</v>
      </c>
      <c r="BA119" s="286">
        <f>AU119*Wirtschaftlichkeit!$K$5/Wirtschaftlichkeit!$K$7</f>
        <v>0</v>
      </c>
      <c r="BB119" s="284">
        <f t="shared" si="79"/>
        <v>0</v>
      </c>
      <c r="BD119" s="222">
        <v>8322</v>
      </c>
      <c r="BE119" s="225" t="str">
        <f>IF($C119&gt;=Wirtschaftlichkeit!$L$8,Wirtschaftlichkeit!$L$8,IF(AND($C119&lt;=Wirtschaftlichkeit!$L$8,$C119&gt;=Wirtschaftlichkeit!$L$8*Eingabemaske!$B$18),$C119,"0"))</f>
        <v>0</v>
      </c>
      <c r="BF119" s="222">
        <v>8322</v>
      </c>
      <c r="BG119" s="224">
        <f t="shared" si="80"/>
        <v>0</v>
      </c>
      <c r="BH119" s="222">
        <v>8322</v>
      </c>
      <c r="BI119" s="226" t="str">
        <f t="shared" si="129"/>
        <v xml:space="preserve"> </v>
      </c>
      <c r="BJ119" s="312">
        <v>8322</v>
      </c>
      <c r="BK119" s="286">
        <f>BE119*Wirtschaftlichkeit!$L$5/Wirtschaftlichkeit!$L$7</f>
        <v>0</v>
      </c>
      <c r="BL119" s="284">
        <f t="shared" si="82"/>
        <v>0</v>
      </c>
      <c r="BN119" s="222">
        <v>8322</v>
      </c>
      <c r="BO119" s="225" t="str">
        <f>IF($C119&gt;=Wirtschaftlichkeit!$M$8,Wirtschaftlichkeit!$M$8,IF(AND($C119&lt;=Wirtschaftlichkeit!$M$8,$C119&gt;=Wirtschaftlichkeit!$M$8*Eingabemaske!$B$18),$C119,"0"))</f>
        <v>0</v>
      </c>
      <c r="BP119" s="222">
        <v>8322</v>
      </c>
      <c r="BQ119" s="224">
        <f t="shared" si="83"/>
        <v>0</v>
      </c>
      <c r="BR119" s="222">
        <v>8322</v>
      </c>
      <c r="BS119" s="226" t="str">
        <f t="shared" si="130"/>
        <v xml:space="preserve"> </v>
      </c>
      <c r="BT119" s="312">
        <v>8322</v>
      </c>
      <c r="BU119" s="286">
        <f>BO119*Wirtschaftlichkeit!$M$5/Wirtschaftlichkeit!$M$7</f>
        <v>0</v>
      </c>
      <c r="BV119" s="284">
        <f t="shared" si="85"/>
        <v>0</v>
      </c>
      <c r="BX119" s="222">
        <v>8322</v>
      </c>
      <c r="BY119" s="225" t="str">
        <f>IF($C119&gt;=Wirtschaftlichkeit!$N$8,Wirtschaftlichkeit!$N$8,IF(AND($C119&lt;=Wirtschaftlichkeit!$N$8,$C119&gt;=Wirtschaftlichkeit!$N$8*Eingabemaske!$B$18),$C119,"0"))</f>
        <v>0</v>
      </c>
      <c r="BZ119" s="222">
        <v>8322</v>
      </c>
      <c r="CA119" s="224">
        <f t="shared" si="86"/>
        <v>0</v>
      </c>
      <c r="CB119" s="222">
        <v>8322</v>
      </c>
      <c r="CC119" s="226" t="str">
        <f t="shared" si="131"/>
        <v xml:space="preserve"> </v>
      </c>
      <c r="CD119" s="312">
        <v>8322</v>
      </c>
      <c r="CE119" s="286">
        <f>BY119*Wirtschaftlichkeit!$N$5/Wirtschaftlichkeit!$N$7</f>
        <v>0</v>
      </c>
      <c r="CF119" s="284">
        <f t="shared" si="88"/>
        <v>0</v>
      </c>
      <c r="CH119" s="222">
        <v>8322</v>
      </c>
      <c r="CI119" s="225" t="str">
        <f>IF($C119&gt;=Wirtschaftlichkeit!$O$8,Wirtschaftlichkeit!$O$8,IF(AND($C119&lt;=Wirtschaftlichkeit!$O$8,$C119&gt;=Wirtschaftlichkeit!$O$8*Eingabemaske!$B$18),$C119,"0"))</f>
        <v>0</v>
      </c>
      <c r="CJ119" s="222">
        <v>8322</v>
      </c>
      <c r="CK119" s="224">
        <f t="shared" si="89"/>
        <v>0</v>
      </c>
      <c r="CL119" s="222">
        <v>8322</v>
      </c>
      <c r="CM119" s="226" t="str">
        <f t="shared" si="132"/>
        <v xml:space="preserve"> </v>
      </c>
      <c r="CN119" s="312">
        <v>8322</v>
      </c>
      <c r="CO119" s="286">
        <f>CI119*Wirtschaftlichkeit!$O$5/Wirtschaftlichkeit!$O$7</f>
        <v>0</v>
      </c>
      <c r="CP119" s="284">
        <f t="shared" si="91"/>
        <v>0</v>
      </c>
      <c r="CR119" s="222">
        <v>8322</v>
      </c>
      <c r="CS119" s="225" t="str">
        <f>IF($C119&gt;=Wirtschaftlichkeit!$P$8,Wirtschaftlichkeit!$P$8,IF(AND($C119&lt;=Wirtschaftlichkeit!$P$8,$C119&gt;=Wirtschaftlichkeit!$P$8*Eingabemaske!$B$18),$C119,"0"))</f>
        <v>0</v>
      </c>
      <c r="CT119" s="222">
        <v>8322</v>
      </c>
      <c r="CU119" s="224">
        <f t="shared" si="92"/>
        <v>0</v>
      </c>
      <c r="CV119" s="222">
        <v>8322</v>
      </c>
      <c r="CW119" s="226" t="str">
        <f t="shared" si="133"/>
        <v xml:space="preserve"> </v>
      </c>
      <c r="CX119" s="312">
        <v>8322</v>
      </c>
      <c r="CY119" s="286">
        <f>CS119*Wirtschaftlichkeit!$P$5/Wirtschaftlichkeit!$P$7</f>
        <v>0</v>
      </c>
      <c r="CZ119" s="284">
        <f t="shared" si="94"/>
        <v>0</v>
      </c>
      <c r="DB119" s="222">
        <v>8322</v>
      </c>
      <c r="DC119" s="225" t="str">
        <f>IF($C119&gt;=Wirtschaftlichkeit!$Q$8,Wirtschaftlichkeit!$Q$8,IF(AND($C119&lt;=Wirtschaftlichkeit!$Q$8,$C119&gt;=Wirtschaftlichkeit!$Q$8*Eingabemaske!$B$18),$C119,"0"))</f>
        <v>0</v>
      </c>
      <c r="DD119" s="222">
        <v>8322</v>
      </c>
      <c r="DE119" s="224">
        <f t="shared" si="95"/>
        <v>0</v>
      </c>
      <c r="DF119" s="222">
        <v>8322</v>
      </c>
      <c r="DG119" s="226" t="str">
        <f t="shared" si="134"/>
        <v xml:space="preserve"> </v>
      </c>
      <c r="DH119" s="312">
        <v>8322</v>
      </c>
      <c r="DI119" s="286">
        <f>DC119*Wirtschaftlichkeit!$Q$5/Wirtschaftlichkeit!$Q$7</f>
        <v>0</v>
      </c>
      <c r="DJ119" s="284">
        <f t="shared" si="97"/>
        <v>0</v>
      </c>
      <c r="DL119" s="222">
        <v>8322</v>
      </c>
      <c r="DM119" s="225" t="str">
        <f>IF($C119&gt;=Wirtschaftlichkeit!$R$8,Wirtschaftlichkeit!$R$8,IF(AND($C119&lt;=Wirtschaftlichkeit!$R$8,$C119&gt;=Wirtschaftlichkeit!$R$8*Eingabemaske!$B$18),$C119,"0"))</f>
        <v>0</v>
      </c>
      <c r="DN119" s="222">
        <v>8322</v>
      </c>
      <c r="DO119" s="224">
        <f t="shared" si="98"/>
        <v>0</v>
      </c>
      <c r="DP119" s="222">
        <v>8322</v>
      </c>
      <c r="DQ119" s="226" t="str">
        <f t="shared" si="135"/>
        <v xml:space="preserve"> </v>
      </c>
      <c r="DR119" s="312">
        <v>8322</v>
      </c>
      <c r="DS119" s="286">
        <f>DM119*Wirtschaftlichkeit!$R$5/Wirtschaftlichkeit!$R$7</f>
        <v>0</v>
      </c>
      <c r="DT119" s="284">
        <f t="shared" si="100"/>
        <v>0</v>
      </c>
      <c r="DV119" s="222">
        <v>8322</v>
      </c>
      <c r="DW119" s="225" t="str">
        <f>IF($C119&gt;=Wirtschaftlichkeit!$S$8,Wirtschaftlichkeit!$S$8,IF(AND($C119&lt;=Wirtschaftlichkeit!$S$8,$C119&gt;=Wirtschaftlichkeit!$S$8*Eingabemaske!$B$18),$C119,"0"))</f>
        <v>0</v>
      </c>
      <c r="DX119" s="222">
        <v>8322</v>
      </c>
      <c r="DY119" s="224">
        <f t="shared" si="101"/>
        <v>0</v>
      </c>
      <c r="DZ119" s="222">
        <v>8322</v>
      </c>
      <c r="EA119" s="226" t="str">
        <f t="shared" si="136"/>
        <v xml:space="preserve"> </v>
      </c>
      <c r="EB119" s="312">
        <v>8322</v>
      </c>
      <c r="EC119" s="286">
        <f>DW119*Wirtschaftlichkeit!$S$5/Wirtschaftlichkeit!$S$7</f>
        <v>0</v>
      </c>
      <c r="ED119" s="284">
        <f t="shared" si="103"/>
        <v>0</v>
      </c>
      <c r="EF119" s="222">
        <v>8322</v>
      </c>
      <c r="EG119" s="225" t="str">
        <f>IF($C119&gt;=Wirtschaftlichkeit!$T$8,Wirtschaftlichkeit!$T$8,IF(AND($C119&lt;=Wirtschaftlichkeit!$T$8,$C119&gt;=Wirtschaftlichkeit!$T$8*Eingabemaske!$B$18),$C119,"0"))</f>
        <v>0</v>
      </c>
      <c r="EH119" s="222">
        <v>8322</v>
      </c>
      <c r="EI119" s="224">
        <f t="shared" si="104"/>
        <v>0</v>
      </c>
      <c r="EJ119" s="222">
        <v>8322</v>
      </c>
      <c r="EK119" s="226" t="str">
        <f t="shared" si="137"/>
        <v xml:space="preserve"> </v>
      </c>
      <c r="EL119" s="312">
        <v>8322</v>
      </c>
      <c r="EM119" s="286">
        <f>EG119*Wirtschaftlichkeit!$T$5/Wirtschaftlichkeit!$T$7</f>
        <v>0</v>
      </c>
      <c r="EN119" s="284">
        <f t="shared" si="106"/>
        <v>0</v>
      </c>
      <c r="EP119" s="222">
        <v>8322</v>
      </c>
      <c r="EQ119" s="225" t="str">
        <f>IF($C119&gt;=Wirtschaftlichkeit!$U$8,Wirtschaftlichkeit!$U$8,IF(AND($C119&lt;=Wirtschaftlichkeit!$U$8,$C119&gt;=Wirtschaftlichkeit!$U$8*Eingabemaske!$B$18),$C119,"0"))</f>
        <v>0</v>
      </c>
      <c r="ER119" s="222">
        <v>8322</v>
      </c>
      <c r="ES119" s="224">
        <f t="shared" si="107"/>
        <v>0</v>
      </c>
      <c r="ET119" s="222">
        <v>8322</v>
      </c>
      <c r="EU119" s="226" t="str">
        <f t="shared" si="138"/>
        <v xml:space="preserve"> </v>
      </c>
      <c r="EV119" s="312">
        <v>8322</v>
      </c>
      <c r="EW119" s="286">
        <f>EQ119*Wirtschaftlichkeit!$U$5/Wirtschaftlichkeit!$U$7</f>
        <v>0</v>
      </c>
      <c r="EX119" s="284">
        <f t="shared" si="109"/>
        <v>0</v>
      </c>
      <c r="EZ119" s="222">
        <v>8322</v>
      </c>
      <c r="FA119" s="225" t="str">
        <f>IF($C119&gt;=Wirtschaftlichkeit!$V$8,Wirtschaftlichkeit!$V$8,IF(AND($C119&lt;=Wirtschaftlichkeit!$V$8,$C119&gt;=Wirtschaftlichkeit!$V$8*Eingabemaske!$B$18),$C119,"0"))</f>
        <v>0</v>
      </c>
      <c r="FB119" s="222">
        <v>8322</v>
      </c>
      <c r="FC119" s="224">
        <f t="shared" si="110"/>
        <v>0</v>
      </c>
      <c r="FD119" s="222">
        <v>8322</v>
      </c>
      <c r="FE119" s="226" t="str">
        <f t="shared" si="139"/>
        <v xml:space="preserve"> </v>
      </c>
      <c r="FF119" s="312">
        <v>8322</v>
      </c>
      <c r="FG119" s="286">
        <f>FA119*Wirtschaftlichkeit!$V$5/Wirtschaftlichkeit!$V$7</f>
        <v>0</v>
      </c>
      <c r="FH119" s="284">
        <f t="shared" si="112"/>
        <v>0</v>
      </c>
      <c r="FJ119" s="222">
        <v>8322</v>
      </c>
      <c r="FK119" s="225" t="str">
        <f>IF($C119&gt;=Wirtschaftlichkeit!$W$8,Wirtschaftlichkeit!$W$8,IF(AND($C119&lt;=Wirtschaftlichkeit!$W$8,$C119&gt;=Wirtschaftlichkeit!$W$8*Eingabemaske!$B$18),$C119,"0"))</f>
        <v>0</v>
      </c>
      <c r="FL119" s="222">
        <v>8322</v>
      </c>
      <c r="FM119" s="224">
        <f t="shared" si="113"/>
        <v>0</v>
      </c>
      <c r="FN119" s="222">
        <v>8322</v>
      </c>
      <c r="FO119" s="226" t="str">
        <f t="shared" si="140"/>
        <v xml:space="preserve"> </v>
      </c>
      <c r="FP119" s="312">
        <v>8322</v>
      </c>
      <c r="FQ119" s="286">
        <f>FK119*Wirtschaftlichkeit!$W$5/Wirtschaftlichkeit!$W$7</f>
        <v>0</v>
      </c>
      <c r="FR119" s="284">
        <f t="shared" si="115"/>
        <v>0</v>
      </c>
      <c r="FT119" s="222">
        <v>8322</v>
      </c>
      <c r="FU119" s="225" t="str">
        <f>IF($C119&gt;=Wirtschaftlichkeit!$X$8,Wirtschaftlichkeit!$X$8,IF(AND($C119&lt;=Wirtschaftlichkeit!$X$8,$C119&gt;=Wirtschaftlichkeit!$X$8*Eingabemaske!$B$18),$C119,"0"))</f>
        <v>0</v>
      </c>
      <c r="FV119" s="222">
        <v>8322</v>
      </c>
      <c r="FW119" s="224">
        <f t="shared" si="116"/>
        <v>0</v>
      </c>
      <c r="FX119" s="222">
        <v>8322</v>
      </c>
      <c r="FY119" s="226" t="str">
        <f t="shared" si="141"/>
        <v xml:space="preserve"> </v>
      </c>
      <c r="FZ119" s="312">
        <v>8322</v>
      </c>
      <c r="GA119" s="286">
        <f>FU119*Wirtschaftlichkeit!$X$5/Wirtschaftlichkeit!$X$7</f>
        <v>0</v>
      </c>
      <c r="GB119" s="284">
        <f t="shared" si="118"/>
        <v>0</v>
      </c>
      <c r="GD119" s="222">
        <v>8322</v>
      </c>
      <c r="GE119" s="225" t="str">
        <f>IF($C119&gt;=Wirtschaftlichkeit!$Y$8,Wirtschaftlichkeit!$Y$8,IF(AND($C119&lt;=Wirtschaftlichkeit!$Y$8,$C119&gt;=Wirtschaftlichkeit!$Y$8*Eingabemaske!$B$18),$C119,"0"))</f>
        <v>0</v>
      </c>
      <c r="GF119" s="222">
        <v>8322</v>
      </c>
      <c r="GG119" s="224">
        <f t="shared" si="119"/>
        <v>0</v>
      </c>
      <c r="GH119" s="222">
        <v>8322</v>
      </c>
      <c r="GI119" s="226" t="str">
        <f t="shared" si="142"/>
        <v xml:space="preserve"> </v>
      </c>
      <c r="GJ119" s="312">
        <v>8322</v>
      </c>
      <c r="GK119" s="286">
        <f>GE119*Wirtschaftlichkeit!$Y$5/Wirtschaftlichkeit!$Y$7</f>
        <v>0</v>
      </c>
      <c r="GL119" s="284">
        <f t="shared" si="121"/>
        <v>0</v>
      </c>
      <c r="GN119" s="222">
        <v>8322</v>
      </c>
      <c r="GO119" s="225" t="str">
        <f>IF($C119&gt;=Wirtschaftlichkeit!$Z$8,Wirtschaftlichkeit!$Z$8,IF(AND($C119&lt;=Wirtschaftlichkeit!$Z$8,$C119&gt;=Wirtschaftlichkeit!$Z$8*Eingabemaske!$B$18),$C119,"0"))</f>
        <v>0</v>
      </c>
      <c r="GP119" s="222">
        <v>8322</v>
      </c>
      <c r="GQ119" s="224">
        <f t="shared" si="122"/>
        <v>0</v>
      </c>
      <c r="GR119" s="222">
        <v>8322</v>
      </c>
      <c r="GS119" s="226" t="str">
        <f t="shared" si="143"/>
        <v xml:space="preserve"> </v>
      </c>
      <c r="GT119" s="312">
        <v>8322</v>
      </c>
      <c r="GU119" s="286">
        <f>GO119*Wirtschaftlichkeit!$Z$5/Wirtschaftlichkeit!$Z$7</f>
        <v>0</v>
      </c>
      <c r="GV119" s="284">
        <f t="shared" si="124"/>
        <v>0</v>
      </c>
      <c r="GW119" s="266"/>
      <c r="GX119" s="258">
        <v>8322</v>
      </c>
      <c r="GY119" s="270" t="str">
        <f>IF(Berechnung_Diagramme!$C$28=Berechnungen_Lastgang!$F$2,Berechnungen_Lastgang!G119,IF(Berechnung_Diagramme!$C$28=Berechnungen_Lastgang!$P$2,Berechnungen_Lastgang!Q119,IF(Berechnung_Diagramme!$C$28=Berechnungen_Lastgang!$Z$2,Berechnungen_Lastgang!AA119,IF(Berechnung_Diagramme!$C$28=Berechnungen_Lastgang!$AJ$2,Berechnungen_Lastgang!AK119,IF(Berechnung_Diagramme!$C$28=Berechnungen_Lastgang!$AT$2,Berechnungen_Lastgang!AU119,IF(Berechnung_Diagramme!$C$28=Berechnungen_Lastgang!$BD$2,Berechnungen_Lastgang!BE119,IF(Berechnung_Diagramme!$C$28=Berechnungen_Lastgang!$BN$2,Berechnungen_Lastgang!BO119,IF(Berechnung_Diagramme!$C$28=Berechnungen_Lastgang!$BX$2,Berechnungen_Lastgang!BY119,IF(Berechnung_Diagramme!$C$28=Berechnungen_Lastgang!$CH$2,Berechnungen_Lastgang!CI119,IF(Berechnung_Diagramme!$C$28=Berechnungen_Lastgang!$CR$2,Berechnungen_Lastgang!CS119,IF(Berechnung_Diagramme!$C$28=Berechnungen_Lastgang!$DB$2,Berechnungen_Lastgang!DC119,IF(Berechnung_Diagramme!$C$28=Berechnungen_Lastgang!$DL$2,Berechnungen_Lastgang!DM119,IF(Berechnung_Diagramme!$C$28=Berechnungen_Lastgang!$DV$2,Berechnungen_Lastgang!DW119,IF(Berechnung_Diagramme!$C$28=Berechnungen_Lastgang!$EF$2,Berechnungen_Lastgang!EG119,IF(Berechnung_Diagramme!$C$28=Berechnungen_Lastgang!$EP$2,Berechnungen_Lastgang!EQ119,IF(Berechnung_Diagramme!$C$28=Berechnungen_Lastgang!$EZ$2,Berechnungen_Lastgang!FA119,IF(Berechnung_Diagramme!$C$28=Berechnungen_Lastgang!$FJ$2,Berechnungen_Lastgang!FK119,IF(Berechnung_Diagramme!$C$28=Berechnungen_Lastgang!$FT$2,Berechnungen_Lastgang!FU119,IF(Berechnung_Diagramme!$C$28=Berechnungen_Lastgang!$GD$2,Berechnungen_Lastgang!GE119,IF(Berechnung_Diagramme!$C$28=Berechnungen_Lastgang!$GN$2,Berechnungen_Lastgang!GO119,""))))))))))))))))))))</f>
        <v>0</v>
      </c>
    </row>
    <row r="120" spans="2:207" x14ac:dyDescent="0.25">
      <c r="B120" s="64">
        <v>8395</v>
      </c>
      <c r="C120" s="67">
        <f>(C115+C125)/2</f>
        <v>1.0349999999999999</v>
      </c>
      <c r="D120" s="66">
        <f t="shared" si="144"/>
        <v>67.999499999999998</v>
      </c>
      <c r="F120" s="64">
        <v>8395</v>
      </c>
      <c r="G120" s="225" t="str">
        <f>IF($C120&gt;=Wirtschaftlichkeit!$G$8,Wirtschaftlichkeit!$G$8,IF(AND($C120&lt;=Wirtschaftlichkeit!$G$8,$C120&gt;=Wirtschaftlichkeit!$G$8*Eingabemaske!$B$18),$C120,"0"))</f>
        <v>0</v>
      </c>
      <c r="H120" s="64">
        <v>8395</v>
      </c>
      <c r="I120" s="66">
        <f t="shared" si="145"/>
        <v>0</v>
      </c>
      <c r="J120" s="64">
        <v>8395</v>
      </c>
      <c r="K120" s="71" t="str">
        <f t="shared" si="146"/>
        <v xml:space="preserve"> </v>
      </c>
      <c r="L120" s="312">
        <v>8395</v>
      </c>
      <c r="M120" s="286">
        <f>G120*Wirtschaftlichkeit!$G$5/Wirtschaftlichkeit!$G$7</f>
        <v>0</v>
      </c>
      <c r="N120" s="284">
        <f t="shared" si="67"/>
        <v>0</v>
      </c>
      <c r="P120" s="222">
        <v>8395</v>
      </c>
      <c r="Q120" s="225" t="str">
        <f>IF($C120&gt;=Wirtschaftlichkeit!$H$8,Wirtschaftlichkeit!$H$8,IF(AND($C120&lt;=Wirtschaftlichkeit!$H$8,$C120&gt;=Wirtschaftlichkeit!$H$8*Eingabemaske!$B$18),$C120,"0"))</f>
        <v>0</v>
      </c>
      <c r="R120" s="222">
        <v>8395</v>
      </c>
      <c r="S120" s="224">
        <f t="shared" si="68"/>
        <v>0</v>
      </c>
      <c r="T120" s="222">
        <v>8395</v>
      </c>
      <c r="U120" s="226" t="str">
        <f t="shared" si="125"/>
        <v xml:space="preserve"> </v>
      </c>
      <c r="V120" s="312">
        <v>8395</v>
      </c>
      <c r="W120" s="286">
        <f>Q120*Wirtschaftlichkeit!$H$5/Wirtschaftlichkeit!$H$7</f>
        <v>0</v>
      </c>
      <c r="X120" s="284">
        <f t="shared" si="70"/>
        <v>0</v>
      </c>
      <c r="Z120" s="222">
        <v>8395</v>
      </c>
      <c r="AA120" s="225" t="str">
        <f>IF($C120&gt;=Wirtschaftlichkeit!$I$8,Wirtschaftlichkeit!$I$8,IF(AND($C120&lt;=Wirtschaftlichkeit!$I$8,$C120&gt;=Wirtschaftlichkeit!$I$8*Eingabemaske!$B$18),$C120,"0"))</f>
        <v>0</v>
      </c>
      <c r="AB120" s="222">
        <v>8395</v>
      </c>
      <c r="AC120" s="224">
        <f t="shared" si="71"/>
        <v>0</v>
      </c>
      <c r="AD120" s="222">
        <v>8395</v>
      </c>
      <c r="AE120" s="226" t="str">
        <f t="shared" si="126"/>
        <v xml:space="preserve"> </v>
      </c>
      <c r="AF120" s="312">
        <v>8395</v>
      </c>
      <c r="AG120" s="286">
        <f>AA120*Wirtschaftlichkeit!$I$5/Wirtschaftlichkeit!$I$7</f>
        <v>0</v>
      </c>
      <c r="AH120" s="284">
        <f t="shared" si="73"/>
        <v>0</v>
      </c>
      <c r="AJ120" s="222">
        <v>8395</v>
      </c>
      <c r="AK120" s="225" t="str">
        <f>IF($C120&gt;=Wirtschaftlichkeit!$J$8,Wirtschaftlichkeit!$J$8,IF(AND($C120&lt;=Wirtschaftlichkeit!$J$8,$C120&gt;=Wirtschaftlichkeit!$J$8*Eingabemaske!$B$18),$C120,"0"))</f>
        <v>0</v>
      </c>
      <c r="AL120" s="222">
        <v>8395</v>
      </c>
      <c r="AM120" s="224">
        <f t="shared" si="74"/>
        <v>0</v>
      </c>
      <c r="AN120" s="222">
        <v>8395</v>
      </c>
      <c r="AO120" s="226" t="str">
        <f t="shared" si="127"/>
        <v xml:space="preserve"> </v>
      </c>
      <c r="AP120" s="312">
        <v>8395</v>
      </c>
      <c r="AQ120" s="286">
        <f>AK120*Wirtschaftlichkeit!$J$5/Wirtschaftlichkeit!$J$7</f>
        <v>0</v>
      </c>
      <c r="AR120" s="284">
        <f t="shared" si="76"/>
        <v>0</v>
      </c>
      <c r="AT120" s="222">
        <v>8395</v>
      </c>
      <c r="AU120" s="225" t="str">
        <f>IF($C120&gt;=Wirtschaftlichkeit!$K$8,Wirtschaftlichkeit!$K$8,IF(AND($C120&lt;=Wirtschaftlichkeit!$K$8,$C120&gt;=Wirtschaftlichkeit!$K$8*Eingabemaske!$B$18),$C120,"0"))</f>
        <v>0</v>
      </c>
      <c r="AV120" s="222">
        <v>8395</v>
      </c>
      <c r="AW120" s="224">
        <f t="shared" si="77"/>
        <v>0</v>
      </c>
      <c r="AX120" s="222">
        <v>8395</v>
      </c>
      <c r="AY120" s="226" t="str">
        <f t="shared" si="128"/>
        <v xml:space="preserve"> </v>
      </c>
      <c r="AZ120" s="312">
        <v>8395</v>
      </c>
      <c r="BA120" s="286">
        <f>AU120*Wirtschaftlichkeit!$K$5/Wirtschaftlichkeit!$K$7</f>
        <v>0</v>
      </c>
      <c r="BB120" s="284">
        <f t="shared" si="79"/>
        <v>0</v>
      </c>
      <c r="BD120" s="222">
        <v>8395</v>
      </c>
      <c r="BE120" s="225" t="str">
        <f>IF($C120&gt;=Wirtschaftlichkeit!$L$8,Wirtschaftlichkeit!$L$8,IF(AND($C120&lt;=Wirtschaftlichkeit!$L$8,$C120&gt;=Wirtschaftlichkeit!$L$8*Eingabemaske!$B$18),$C120,"0"))</f>
        <v>0</v>
      </c>
      <c r="BF120" s="222">
        <v>8395</v>
      </c>
      <c r="BG120" s="224">
        <f t="shared" si="80"/>
        <v>0</v>
      </c>
      <c r="BH120" s="222">
        <v>8395</v>
      </c>
      <c r="BI120" s="226" t="str">
        <f t="shared" si="129"/>
        <v xml:space="preserve"> </v>
      </c>
      <c r="BJ120" s="312">
        <v>8395</v>
      </c>
      <c r="BK120" s="286">
        <f>BE120*Wirtschaftlichkeit!$L$5/Wirtschaftlichkeit!$L$7</f>
        <v>0</v>
      </c>
      <c r="BL120" s="284">
        <f t="shared" si="82"/>
        <v>0</v>
      </c>
      <c r="BN120" s="222">
        <v>8395</v>
      </c>
      <c r="BO120" s="225" t="str">
        <f>IF($C120&gt;=Wirtschaftlichkeit!$M$8,Wirtschaftlichkeit!$M$8,IF(AND($C120&lt;=Wirtschaftlichkeit!$M$8,$C120&gt;=Wirtschaftlichkeit!$M$8*Eingabemaske!$B$18),$C120,"0"))</f>
        <v>0</v>
      </c>
      <c r="BP120" s="222">
        <v>8395</v>
      </c>
      <c r="BQ120" s="224">
        <f t="shared" si="83"/>
        <v>0</v>
      </c>
      <c r="BR120" s="222">
        <v>8395</v>
      </c>
      <c r="BS120" s="226" t="str">
        <f t="shared" si="130"/>
        <v xml:space="preserve"> </v>
      </c>
      <c r="BT120" s="312">
        <v>8395</v>
      </c>
      <c r="BU120" s="286">
        <f>BO120*Wirtschaftlichkeit!$M$5/Wirtschaftlichkeit!$M$7</f>
        <v>0</v>
      </c>
      <c r="BV120" s="284">
        <f t="shared" si="85"/>
        <v>0</v>
      </c>
      <c r="BX120" s="222">
        <v>8395</v>
      </c>
      <c r="BY120" s="225" t="str">
        <f>IF($C120&gt;=Wirtschaftlichkeit!$N$8,Wirtschaftlichkeit!$N$8,IF(AND($C120&lt;=Wirtschaftlichkeit!$N$8,$C120&gt;=Wirtschaftlichkeit!$N$8*Eingabemaske!$B$18),$C120,"0"))</f>
        <v>0</v>
      </c>
      <c r="BZ120" s="222">
        <v>8395</v>
      </c>
      <c r="CA120" s="224">
        <f t="shared" si="86"/>
        <v>0</v>
      </c>
      <c r="CB120" s="222">
        <v>8395</v>
      </c>
      <c r="CC120" s="226" t="str">
        <f t="shared" si="131"/>
        <v xml:space="preserve"> </v>
      </c>
      <c r="CD120" s="312">
        <v>8395</v>
      </c>
      <c r="CE120" s="286">
        <f>BY120*Wirtschaftlichkeit!$N$5/Wirtschaftlichkeit!$N$7</f>
        <v>0</v>
      </c>
      <c r="CF120" s="284">
        <f t="shared" si="88"/>
        <v>0</v>
      </c>
      <c r="CH120" s="222">
        <v>8395</v>
      </c>
      <c r="CI120" s="225" t="str">
        <f>IF($C120&gt;=Wirtschaftlichkeit!$O$8,Wirtschaftlichkeit!$O$8,IF(AND($C120&lt;=Wirtschaftlichkeit!$O$8,$C120&gt;=Wirtschaftlichkeit!$O$8*Eingabemaske!$B$18),$C120,"0"))</f>
        <v>0</v>
      </c>
      <c r="CJ120" s="222">
        <v>8395</v>
      </c>
      <c r="CK120" s="224">
        <f t="shared" si="89"/>
        <v>0</v>
      </c>
      <c r="CL120" s="222">
        <v>8395</v>
      </c>
      <c r="CM120" s="226" t="str">
        <f t="shared" si="132"/>
        <v xml:space="preserve"> </v>
      </c>
      <c r="CN120" s="312">
        <v>8395</v>
      </c>
      <c r="CO120" s="286">
        <f>CI120*Wirtschaftlichkeit!$O$5/Wirtschaftlichkeit!$O$7</f>
        <v>0</v>
      </c>
      <c r="CP120" s="284">
        <f t="shared" si="91"/>
        <v>0</v>
      </c>
      <c r="CR120" s="222">
        <v>8395</v>
      </c>
      <c r="CS120" s="225" t="str">
        <f>IF($C120&gt;=Wirtschaftlichkeit!$P$8,Wirtschaftlichkeit!$P$8,IF(AND($C120&lt;=Wirtschaftlichkeit!$P$8,$C120&gt;=Wirtschaftlichkeit!$P$8*Eingabemaske!$B$18),$C120,"0"))</f>
        <v>0</v>
      </c>
      <c r="CT120" s="222">
        <v>8395</v>
      </c>
      <c r="CU120" s="224">
        <f t="shared" si="92"/>
        <v>0</v>
      </c>
      <c r="CV120" s="222">
        <v>8395</v>
      </c>
      <c r="CW120" s="226" t="str">
        <f t="shared" si="133"/>
        <v xml:space="preserve"> </v>
      </c>
      <c r="CX120" s="312">
        <v>8395</v>
      </c>
      <c r="CY120" s="286">
        <f>CS120*Wirtschaftlichkeit!$P$5/Wirtschaftlichkeit!$P$7</f>
        <v>0</v>
      </c>
      <c r="CZ120" s="284">
        <f t="shared" si="94"/>
        <v>0</v>
      </c>
      <c r="DB120" s="222">
        <v>8395</v>
      </c>
      <c r="DC120" s="225" t="str">
        <f>IF($C120&gt;=Wirtschaftlichkeit!$Q$8,Wirtschaftlichkeit!$Q$8,IF(AND($C120&lt;=Wirtschaftlichkeit!$Q$8,$C120&gt;=Wirtschaftlichkeit!$Q$8*Eingabemaske!$B$18),$C120,"0"))</f>
        <v>0</v>
      </c>
      <c r="DD120" s="222">
        <v>8395</v>
      </c>
      <c r="DE120" s="224">
        <f t="shared" si="95"/>
        <v>0</v>
      </c>
      <c r="DF120" s="222">
        <v>8395</v>
      </c>
      <c r="DG120" s="226" t="str">
        <f t="shared" si="134"/>
        <v xml:space="preserve"> </v>
      </c>
      <c r="DH120" s="312">
        <v>8395</v>
      </c>
      <c r="DI120" s="286">
        <f>DC120*Wirtschaftlichkeit!$Q$5/Wirtschaftlichkeit!$Q$7</f>
        <v>0</v>
      </c>
      <c r="DJ120" s="284">
        <f t="shared" si="97"/>
        <v>0</v>
      </c>
      <c r="DL120" s="222">
        <v>8395</v>
      </c>
      <c r="DM120" s="225" t="str">
        <f>IF($C120&gt;=Wirtschaftlichkeit!$R$8,Wirtschaftlichkeit!$R$8,IF(AND($C120&lt;=Wirtschaftlichkeit!$R$8,$C120&gt;=Wirtschaftlichkeit!$R$8*Eingabemaske!$B$18),$C120,"0"))</f>
        <v>0</v>
      </c>
      <c r="DN120" s="222">
        <v>8395</v>
      </c>
      <c r="DO120" s="224">
        <f t="shared" si="98"/>
        <v>0</v>
      </c>
      <c r="DP120" s="222">
        <v>8395</v>
      </c>
      <c r="DQ120" s="226" t="str">
        <f t="shared" si="135"/>
        <v xml:space="preserve"> </v>
      </c>
      <c r="DR120" s="312">
        <v>8395</v>
      </c>
      <c r="DS120" s="286">
        <f>DM120*Wirtschaftlichkeit!$R$5/Wirtschaftlichkeit!$R$7</f>
        <v>0</v>
      </c>
      <c r="DT120" s="284">
        <f t="shared" si="100"/>
        <v>0</v>
      </c>
      <c r="DV120" s="222">
        <v>8395</v>
      </c>
      <c r="DW120" s="225" t="str">
        <f>IF($C120&gt;=Wirtschaftlichkeit!$S$8,Wirtschaftlichkeit!$S$8,IF(AND($C120&lt;=Wirtschaftlichkeit!$S$8,$C120&gt;=Wirtschaftlichkeit!$S$8*Eingabemaske!$B$18),$C120,"0"))</f>
        <v>0</v>
      </c>
      <c r="DX120" s="222">
        <v>8395</v>
      </c>
      <c r="DY120" s="224">
        <f t="shared" si="101"/>
        <v>0</v>
      </c>
      <c r="DZ120" s="222">
        <v>8395</v>
      </c>
      <c r="EA120" s="226" t="str">
        <f t="shared" si="136"/>
        <v xml:space="preserve"> </v>
      </c>
      <c r="EB120" s="312">
        <v>8395</v>
      </c>
      <c r="EC120" s="286">
        <f>DW120*Wirtschaftlichkeit!$S$5/Wirtschaftlichkeit!$S$7</f>
        <v>0</v>
      </c>
      <c r="ED120" s="284">
        <f t="shared" si="103"/>
        <v>0</v>
      </c>
      <c r="EF120" s="222">
        <v>8395</v>
      </c>
      <c r="EG120" s="225" t="str">
        <f>IF($C120&gt;=Wirtschaftlichkeit!$T$8,Wirtschaftlichkeit!$T$8,IF(AND($C120&lt;=Wirtschaftlichkeit!$T$8,$C120&gt;=Wirtschaftlichkeit!$T$8*Eingabemaske!$B$18),$C120,"0"))</f>
        <v>0</v>
      </c>
      <c r="EH120" s="222">
        <v>8395</v>
      </c>
      <c r="EI120" s="224">
        <f t="shared" si="104"/>
        <v>0</v>
      </c>
      <c r="EJ120" s="222">
        <v>8395</v>
      </c>
      <c r="EK120" s="226" t="str">
        <f t="shared" si="137"/>
        <v xml:space="preserve"> </v>
      </c>
      <c r="EL120" s="312">
        <v>8395</v>
      </c>
      <c r="EM120" s="286">
        <f>EG120*Wirtschaftlichkeit!$T$5/Wirtschaftlichkeit!$T$7</f>
        <v>0</v>
      </c>
      <c r="EN120" s="284">
        <f t="shared" si="106"/>
        <v>0</v>
      </c>
      <c r="EP120" s="222">
        <v>8395</v>
      </c>
      <c r="EQ120" s="225" t="str">
        <f>IF($C120&gt;=Wirtschaftlichkeit!$U$8,Wirtschaftlichkeit!$U$8,IF(AND($C120&lt;=Wirtschaftlichkeit!$U$8,$C120&gt;=Wirtschaftlichkeit!$U$8*Eingabemaske!$B$18),$C120,"0"))</f>
        <v>0</v>
      </c>
      <c r="ER120" s="222">
        <v>8395</v>
      </c>
      <c r="ES120" s="224">
        <f t="shared" si="107"/>
        <v>0</v>
      </c>
      <c r="ET120" s="222">
        <v>8395</v>
      </c>
      <c r="EU120" s="226" t="str">
        <f t="shared" si="138"/>
        <v xml:space="preserve"> </v>
      </c>
      <c r="EV120" s="312">
        <v>8395</v>
      </c>
      <c r="EW120" s="286">
        <f>EQ120*Wirtschaftlichkeit!$U$5/Wirtschaftlichkeit!$U$7</f>
        <v>0</v>
      </c>
      <c r="EX120" s="284">
        <f t="shared" si="109"/>
        <v>0</v>
      </c>
      <c r="EZ120" s="222">
        <v>8395</v>
      </c>
      <c r="FA120" s="225" t="str">
        <f>IF($C120&gt;=Wirtschaftlichkeit!$V$8,Wirtschaftlichkeit!$V$8,IF(AND($C120&lt;=Wirtschaftlichkeit!$V$8,$C120&gt;=Wirtschaftlichkeit!$V$8*Eingabemaske!$B$18),$C120,"0"))</f>
        <v>0</v>
      </c>
      <c r="FB120" s="222">
        <v>8395</v>
      </c>
      <c r="FC120" s="224">
        <f t="shared" si="110"/>
        <v>0</v>
      </c>
      <c r="FD120" s="222">
        <v>8395</v>
      </c>
      <c r="FE120" s="226" t="str">
        <f t="shared" si="139"/>
        <v xml:space="preserve"> </v>
      </c>
      <c r="FF120" s="312">
        <v>8395</v>
      </c>
      <c r="FG120" s="286">
        <f>FA120*Wirtschaftlichkeit!$V$5/Wirtschaftlichkeit!$V$7</f>
        <v>0</v>
      </c>
      <c r="FH120" s="284">
        <f t="shared" si="112"/>
        <v>0</v>
      </c>
      <c r="FJ120" s="222">
        <v>8395</v>
      </c>
      <c r="FK120" s="225" t="str">
        <f>IF($C120&gt;=Wirtschaftlichkeit!$W$8,Wirtschaftlichkeit!$W$8,IF(AND($C120&lt;=Wirtschaftlichkeit!$W$8,$C120&gt;=Wirtschaftlichkeit!$W$8*Eingabemaske!$B$18),$C120,"0"))</f>
        <v>0</v>
      </c>
      <c r="FL120" s="222">
        <v>8395</v>
      </c>
      <c r="FM120" s="224">
        <f t="shared" si="113"/>
        <v>0</v>
      </c>
      <c r="FN120" s="222">
        <v>8395</v>
      </c>
      <c r="FO120" s="226" t="str">
        <f t="shared" si="140"/>
        <v xml:space="preserve"> </v>
      </c>
      <c r="FP120" s="312">
        <v>8395</v>
      </c>
      <c r="FQ120" s="286">
        <f>FK120*Wirtschaftlichkeit!$W$5/Wirtschaftlichkeit!$W$7</f>
        <v>0</v>
      </c>
      <c r="FR120" s="284">
        <f t="shared" si="115"/>
        <v>0</v>
      </c>
      <c r="FT120" s="222">
        <v>8395</v>
      </c>
      <c r="FU120" s="225" t="str">
        <f>IF($C120&gt;=Wirtschaftlichkeit!$X$8,Wirtschaftlichkeit!$X$8,IF(AND($C120&lt;=Wirtschaftlichkeit!$X$8,$C120&gt;=Wirtschaftlichkeit!$X$8*Eingabemaske!$B$18),$C120,"0"))</f>
        <v>0</v>
      </c>
      <c r="FV120" s="222">
        <v>8395</v>
      </c>
      <c r="FW120" s="224">
        <f t="shared" si="116"/>
        <v>0</v>
      </c>
      <c r="FX120" s="222">
        <v>8395</v>
      </c>
      <c r="FY120" s="226" t="str">
        <f t="shared" si="141"/>
        <v xml:space="preserve"> </v>
      </c>
      <c r="FZ120" s="312">
        <v>8395</v>
      </c>
      <c r="GA120" s="286">
        <f>FU120*Wirtschaftlichkeit!$X$5/Wirtschaftlichkeit!$X$7</f>
        <v>0</v>
      </c>
      <c r="GB120" s="284">
        <f t="shared" si="118"/>
        <v>0</v>
      </c>
      <c r="GD120" s="222">
        <v>8395</v>
      </c>
      <c r="GE120" s="225" t="str">
        <f>IF($C120&gt;=Wirtschaftlichkeit!$Y$8,Wirtschaftlichkeit!$Y$8,IF(AND($C120&lt;=Wirtschaftlichkeit!$Y$8,$C120&gt;=Wirtschaftlichkeit!$Y$8*Eingabemaske!$B$18),$C120,"0"))</f>
        <v>0</v>
      </c>
      <c r="GF120" s="222">
        <v>8395</v>
      </c>
      <c r="GG120" s="224">
        <f t="shared" si="119"/>
        <v>0</v>
      </c>
      <c r="GH120" s="222">
        <v>8395</v>
      </c>
      <c r="GI120" s="226" t="str">
        <f t="shared" si="142"/>
        <v xml:space="preserve"> </v>
      </c>
      <c r="GJ120" s="312">
        <v>8395</v>
      </c>
      <c r="GK120" s="286">
        <f>GE120*Wirtschaftlichkeit!$Y$5/Wirtschaftlichkeit!$Y$7</f>
        <v>0</v>
      </c>
      <c r="GL120" s="284">
        <f t="shared" si="121"/>
        <v>0</v>
      </c>
      <c r="GN120" s="222">
        <v>8395</v>
      </c>
      <c r="GO120" s="225" t="str">
        <f>IF($C120&gt;=Wirtschaftlichkeit!$Z$8,Wirtschaftlichkeit!$Z$8,IF(AND($C120&lt;=Wirtschaftlichkeit!$Z$8,$C120&gt;=Wirtschaftlichkeit!$Z$8*Eingabemaske!$B$18),$C120,"0"))</f>
        <v>0</v>
      </c>
      <c r="GP120" s="222">
        <v>8395</v>
      </c>
      <c r="GQ120" s="224">
        <f t="shared" si="122"/>
        <v>0</v>
      </c>
      <c r="GR120" s="222">
        <v>8395</v>
      </c>
      <c r="GS120" s="226" t="str">
        <f t="shared" si="143"/>
        <v xml:space="preserve"> </v>
      </c>
      <c r="GT120" s="312">
        <v>8395</v>
      </c>
      <c r="GU120" s="286">
        <f>GO120*Wirtschaftlichkeit!$Z$5/Wirtschaftlichkeit!$Z$7</f>
        <v>0</v>
      </c>
      <c r="GV120" s="284">
        <f t="shared" si="124"/>
        <v>0</v>
      </c>
      <c r="GW120" s="266"/>
      <c r="GX120" s="258">
        <v>8395</v>
      </c>
      <c r="GY120" s="270" t="str">
        <f>IF(Berechnung_Diagramme!$C$28=Berechnungen_Lastgang!$F$2,Berechnungen_Lastgang!G120,IF(Berechnung_Diagramme!$C$28=Berechnungen_Lastgang!$P$2,Berechnungen_Lastgang!Q120,IF(Berechnung_Diagramme!$C$28=Berechnungen_Lastgang!$Z$2,Berechnungen_Lastgang!AA120,IF(Berechnung_Diagramme!$C$28=Berechnungen_Lastgang!$AJ$2,Berechnungen_Lastgang!AK120,IF(Berechnung_Diagramme!$C$28=Berechnungen_Lastgang!$AT$2,Berechnungen_Lastgang!AU120,IF(Berechnung_Diagramme!$C$28=Berechnungen_Lastgang!$BD$2,Berechnungen_Lastgang!BE120,IF(Berechnung_Diagramme!$C$28=Berechnungen_Lastgang!$BN$2,Berechnungen_Lastgang!BO120,IF(Berechnung_Diagramme!$C$28=Berechnungen_Lastgang!$BX$2,Berechnungen_Lastgang!BY120,IF(Berechnung_Diagramme!$C$28=Berechnungen_Lastgang!$CH$2,Berechnungen_Lastgang!CI120,IF(Berechnung_Diagramme!$C$28=Berechnungen_Lastgang!$CR$2,Berechnungen_Lastgang!CS120,IF(Berechnung_Diagramme!$C$28=Berechnungen_Lastgang!$DB$2,Berechnungen_Lastgang!DC120,IF(Berechnung_Diagramme!$C$28=Berechnungen_Lastgang!$DL$2,Berechnungen_Lastgang!DM120,IF(Berechnung_Diagramme!$C$28=Berechnungen_Lastgang!$DV$2,Berechnungen_Lastgang!DW120,IF(Berechnung_Diagramme!$C$28=Berechnungen_Lastgang!$EF$2,Berechnungen_Lastgang!EG120,IF(Berechnung_Diagramme!$C$28=Berechnungen_Lastgang!$EP$2,Berechnungen_Lastgang!EQ120,IF(Berechnung_Diagramme!$C$28=Berechnungen_Lastgang!$EZ$2,Berechnungen_Lastgang!FA120,IF(Berechnung_Diagramme!$C$28=Berechnungen_Lastgang!$FJ$2,Berechnungen_Lastgang!FK120,IF(Berechnung_Diagramme!$C$28=Berechnungen_Lastgang!$FT$2,Berechnungen_Lastgang!FU120,IF(Berechnung_Diagramme!$C$28=Berechnungen_Lastgang!$GD$2,Berechnungen_Lastgang!GE120,IF(Berechnung_Diagramme!$C$28=Berechnungen_Lastgang!$GN$2,Berechnungen_Lastgang!GO120,""))))))))))))))))))))</f>
        <v>0</v>
      </c>
    </row>
    <row r="121" spans="2:207" x14ac:dyDescent="0.25">
      <c r="B121" s="64">
        <v>8468</v>
      </c>
      <c r="C121" s="67">
        <f>C120+((C125-C120)/(B125-B120))*(B121-B120)</f>
        <v>0.82799999999999996</v>
      </c>
      <c r="D121" s="66">
        <f t="shared" si="144"/>
        <v>52.888499999999993</v>
      </c>
      <c r="F121" s="64">
        <v>8468</v>
      </c>
      <c r="G121" s="225" t="str">
        <f>IF($C121&gt;=Wirtschaftlichkeit!$G$8,Wirtschaftlichkeit!$G$8,IF(AND($C121&lt;=Wirtschaftlichkeit!$G$8,$C121&gt;=Wirtschaftlichkeit!$G$8*Eingabemaske!$B$18),$C121,"0"))</f>
        <v>0</v>
      </c>
      <c r="H121" s="64">
        <v>8468</v>
      </c>
      <c r="I121" s="66">
        <f t="shared" si="145"/>
        <v>0</v>
      </c>
      <c r="J121" s="64">
        <v>8468</v>
      </c>
      <c r="K121" s="71" t="str">
        <f t="shared" si="146"/>
        <v xml:space="preserve"> </v>
      </c>
      <c r="L121" s="312">
        <v>8468</v>
      </c>
      <c r="M121" s="286">
        <f>G121*Wirtschaftlichkeit!$G$5/Wirtschaftlichkeit!$G$7</f>
        <v>0</v>
      </c>
      <c r="N121" s="284">
        <f t="shared" si="67"/>
        <v>0</v>
      </c>
      <c r="P121" s="222">
        <v>8468</v>
      </c>
      <c r="Q121" s="225" t="str">
        <f>IF($C121&gt;=Wirtschaftlichkeit!$H$8,Wirtschaftlichkeit!$H$8,IF(AND($C121&lt;=Wirtschaftlichkeit!$H$8,$C121&gt;=Wirtschaftlichkeit!$H$8*Eingabemaske!$B$18),$C121,"0"))</f>
        <v>0</v>
      </c>
      <c r="R121" s="222">
        <v>8468</v>
      </c>
      <c r="S121" s="224">
        <f t="shared" si="68"/>
        <v>0</v>
      </c>
      <c r="T121" s="222">
        <v>8468</v>
      </c>
      <c r="U121" s="226" t="str">
        <f t="shared" si="125"/>
        <v xml:space="preserve"> </v>
      </c>
      <c r="V121" s="312">
        <v>8468</v>
      </c>
      <c r="W121" s="286">
        <f>Q121*Wirtschaftlichkeit!$H$5/Wirtschaftlichkeit!$H$7</f>
        <v>0</v>
      </c>
      <c r="X121" s="284">
        <f t="shared" si="70"/>
        <v>0</v>
      </c>
      <c r="Z121" s="222">
        <v>8468</v>
      </c>
      <c r="AA121" s="225" t="str">
        <f>IF($C121&gt;=Wirtschaftlichkeit!$I$8,Wirtschaftlichkeit!$I$8,IF(AND($C121&lt;=Wirtschaftlichkeit!$I$8,$C121&gt;=Wirtschaftlichkeit!$I$8*Eingabemaske!$B$18),$C121,"0"))</f>
        <v>0</v>
      </c>
      <c r="AB121" s="222">
        <v>8468</v>
      </c>
      <c r="AC121" s="224">
        <f t="shared" si="71"/>
        <v>0</v>
      </c>
      <c r="AD121" s="222">
        <v>8468</v>
      </c>
      <c r="AE121" s="226" t="str">
        <f t="shared" si="126"/>
        <v xml:space="preserve"> </v>
      </c>
      <c r="AF121" s="312">
        <v>8468</v>
      </c>
      <c r="AG121" s="286">
        <f>AA121*Wirtschaftlichkeit!$I$5/Wirtschaftlichkeit!$I$7</f>
        <v>0</v>
      </c>
      <c r="AH121" s="284">
        <f t="shared" si="73"/>
        <v>0</v>
      </c>
      <c r="AJ121" s="222">
        <v>8468</v>
      </c>
      <c r="AK121" s="225" t="str">
        <f>IF($C121&gt;=Wirtschaftlichkeit!$J$8,Wirtschaftlichkeit!$J$8,IF(AND($C121&lt;=Wirtschaftlichkeit!$J$8,$C121&gt;=Wirtschaftlichkeit!$J$8*Eingabemaske!$B$18),$C121,"0"))</f>
        <v>0</v>
      </c>
      <c r="AL121" s="222">
        <v>8468</v>
      </c>
      <c r="AM121" s="224">
        <f t="shared" si="74"/>
        <v>0</v>
      </c>
      <c r="AN121" s="222">
        <v>8468</v>
      </c>
      <c r="AO121" s="226" t="str">
        <f t="shared" si="127"/>
        <v xml:space="preserve"> </v>
      </c>
      <c r="AP121" s="312">
        <v>8468</v>
      </c>
      <c r="AQ121" s="286">
        <f>AK121*Wirtschaftlichkeit!$J$5/Wirtschaftlichkeit!$J$7</f>
        <v>0</v>
      </c>
      <c r="AR121" s="284">
        <f t="shared" si="76"/>
        <v>0</v>
      </c>
      <c r="AT121" s="222">
        <v>8468</v>
      </c>
      <c r="AU121" s="225" t="str">
        <f>IF($C121&gt;=Wirtschaftlichkeit!$K$8,Wirtschaftlichkeit!$K$8,IF(AND($C121&lt;=Wirtschaftlichkeit!$K$8,$C121&gt;=Wirtschaftlichkeit!$K$8*Eingabemaske!$B$18),$C121,"0"))</f>
        <v>0</v>
      </c>
      <c r="AV121" s="222">
        <v>8468</v>
      </c>
      <c r="AW121" s="224">
        <f t="shared" si="77"/>
        <v>0</v>
      </c>
      <c r="AX121" s="222">
        <v>8468</v>
      </c>
      <c r="AY121" s="226" t="str">
        <f t="shared" si="128"/>
        <v xml:space="preserve"> </v>
      </c>
      <c r="AZ121" s="312">
        <v>8468</v>
      </c>
      <c r="BA121" s="286">
        <f>AU121*Wirtschaftlichkeit!$K$5/Wirtschaftlichkeit!$K$7</f>
        <v>0</v>
      </c>
      <c r="BB121" s="284">
        <f t="shared" si="79"/>
        <v>0</v>
      </c>
      <c r="BD121" s="222">
        <v>8468</v>
      </c>
      <c r="BE121" s="225" t="str">
        <f>IF($C121&gt;=Wirtschaftlichkeit!$L$8,Wirtschaftlichkeit!$L$8,IF(AND($C121&lt;=Wirtschaftlichkeit!$L$8,$C121&gt;=Wirtschaftlichkeit!$L$8*Eingabemaske!$B$18),$C121,"0"))</f>
        <v>0</v>
      </c>
      <c r="BF121" s="222">
        <v>8468</v>
      </c>
      <c r="BG121" s="224">
        <f t="shared" si="80"/>
        <v>0</v>
      </c>
      <c r="BH121" s="222">
        <v>8468</v>
      </c>
      <c r="BI121" s="226" t="str">
        <f t="shared" si="129"/>
        <v xml:space="preserve"> </v>
      </c>
      <c r="BJ121" s="312">
        <v>8468</v>
      </c>
      <c r="BK121" s="286">
        <f>BE121*Wirtschaftlichkeit!$L$5/Wirtschaftlichkeit!$L$7</f>
        <v>0</v>
      </c>
      <c r="BL121" s="284">
        <f t="shared" si="82"/>
        <v>0</v>
      </c>
      <c r="BN121" s="222">
        <v>8468</v>
      </c>
      <c r="BO121" s="225" t="str">
        <f>IF($C121&gt;=Wirtschaftlichkeit!$M$8,Wirtschaftlichkeit!$M$8,IF(AND($C121&lt;=Wirtschaftlichkeit!$M$8,$C121&gt;=Wirtschaftlichkeit!$M$8*Eingabemaske!$B$18),$C121,"0"))</f>
        <v>0</v>
      </c>
      <c r="BP121" s="222">
        <v>8468</v>
      </c>
      <c r="BQ121" s="224">
        <f t="shared" si="83"/>
        <v>0</v>
      </c>
      <c r="BR121" s="222">
        <v>8468</v>
      </c>
      <c r="BS121" s="226" t="str">
        <f t="shared" si="130"/>
        <v xml:space="preserve"> </v>
      </c>
      <c r="BT121" s="312">
        <v>8468</v>
      </c>
      <c r="BU121" s="286">
        <f>BO121*Wirtschaftlichkeit!$M$5/Wirtschaftlichkeit!$M$7</f>
        <v>0</v>
      </c>
      <c r="BV121" s="284">
        <f t="shared" si="85"/>
        <v>0</v>
      </c>
      <c r="BX121" s="222">
        <v>8468</v>
      </c>
      <c r="BY121" s="225" t="str">
        <f>IF($C121&gt;=Wirtschaftlichkeit!$N$8,Wirtschaftlichkeit!$N$8,IF(AND($C121&lt;=Wirtschaftlichkeit!$N$8,$C121&gt;=Wirtschaftlichkeit!$N$8*Eingabemaske!$B$18),$C121,"0"))</f>
        <v>0</v>
      </c>
      <c r="BZ121" s="222">
        <v>8468</v>
      </c>
      <c r="CA121" s="224">
        <f t="shared" si="86"/>
        <v>0</v>
      </c>
      <c r="CB121" s="222">
        <v>8468</v>
      </c>
      <c r="CC121" s="226" t="str">
        <f t="shared" si="131"/>
        <v xml:space="preserve"> </v>
      </c>
      <c r="CD121" s="312">
        <v>8468</v>
      </c>
      <c r="CE121" s="286">
        <f>BY121*Wirtschaftlichkeit!$N$5/Wirtschaftlichkeit!$N$7</f>
        <v>0</v>
      </c>
      <c r="CF121" s="284">
        <f t="shared" si="88"/>
        <v>0</v>
      </c>
      <c r="CH121" s="222">
        <v>8468</v>
      </c>
      <c r="CI121" s="225" t="str">
        <f>IF($C121&gt;=Wirtschaftlichkeit!$O$8,Wirtschaftlichkeit!$O$8,IF(AND($C121&lt;=Wirtschaftlichkeit!$O$8,$C121&gt;=Wirtschaftlichkeit!$O$8*Eingabemaske!$B$18),$C121,"0"))</f>
        <v>0</v>
      </c>
      <c r="CJ121" s="222">
        <v>8468</v>
      </c>
      <c r="CK121" s="224">
        <f t="shared" si="89"/>
        <v>0</v>
      </c>
      <c r="CL121" s="222">
        <v>8468</v>
      </c>
      <c r="CM121" s="226" t="str">
        <f t="shared" si="132"/>
        <v xml:space="preserve"> </v>
      </c>
      <c r="CN121" s="312">
        <v>8468</v>
      </c>
      <c r="CO121" s="286">
        <f>CI121*Wirtschaftlichkeit!$O$5/Wirtschaftlichkeit!$O$7</f>
        <v>0</v>
      </c>
      <c r="CP121" s="284">
        <f t="shared" si="91"/>
        <v>0</v>
      </c>
      <c r="CR121" s="222">
        <v>8468</v>
      </c>
      <c r="CS121" s="225" t="str">
        <f>IF($C121&gt;=Wirtschaftlichkeit!$P$8,Wirtschaftlichkeit!$P$8,IF(AND($C121&lt;=Wirtschaftlichkeit!$P$8,$C121&gt;=Wirtschaftlichkeit!$P$8*Eingabemaske!$B$18),$C121,"0"))</f>
        <v>0</v>
      </c>
      <c r="CT121" s="222">
        <v>8468</v>
      </c>
      <c r="CU121" s="224">
        <f t="shared" si="92"/>
        <v>0</v>
      </c>
      <c r="CV121" s="222">
        <v>8468</v>
      </c>
      <c r="CW121" s="226" t="str">
        <f t="shared" si="133"/>
        <v xml:space="preserve"> </v>
      </c>
      <c r="CX121" s="312">
        <v>8468</v>
      </c>
      <c r="CY121" s="286">
        <f>CS121*Wirtschaftlichkeit!$P$5/Wirtschaftlichkeit!$P$7</f>
        <v>0</v>
      </c>
      <c r="CZ121" s="284">
        <f t="shared" si="94"/>
        <v>0</v>
      </c>
      <c r="DB121" s="222">
        <v>8468</v>
      </c>
      <c r="DC121" s="225" t="str">
        <f>IF($C121&gt;=Wirtschaftlichkeit!$Q$8,Wirtschaftlichkeit!$Q$8,IF(AND($C121&lt;=Wirtschaftlichkeit!$Q$8,$C121&gt;=Wirtschaftlichkeit!$Q$8*Eingabemaske!$B$18),$C121,"0"))</f>
        <v>0</v>
      </c>
      <c r="DD121" s="222">
        <v>8468</v>
      </c>
      <c r="DE121" s="224">
        <f t="shared" si="95"/>
        <v>0</v>
      </c>
      <c r="DF121" s="222">
        <v>8468</v>
      </c>
      <c r="DG121" s="226" t="str">
        <f t="shared" si="134"/>
        <v xml:space="preserve"> </v>
      </c>
      <c r="DH121" s="312">
        <v>8468</v>
      </c>
      <c r="DI121" s="286">
        <f>DC121*Wirtschaftlichkeit!$Q$5/Wirtschaftlichkeit!$Q$7</f>
        <v>0</v>
      </c>
      <c r="DJ121" s="284">
        <f t="shared" si="97"/>
        <v>0</v>
      </c>
      <c r="DL121" s="222">
        <v>8468</v>
      </c>
      <c r="DM121" s="225" t="str">
        <f>IF($C121&gt;=Wirtschaftlichkeit!$R$8,Wirtschaftlichkeit!$R$8,IF(AND($C121&lt;=Wirtschaftlichkeit!$R$8,$C121&gt;=Wirtschaftlichkeit!$R$8*Eingabemaske!$B$18),$C121,"0"))</f>
        <v>0</v>
      </c>
      <c r="DN121" s="222">
        <v>8468</v>
      </c>
      <c r="DO121" s="224">
        <f t="shared" si="98"/>
        <v>0</v>
      </c>
      <c r="DP121" s="222">
        <v>8468</v>
      </c>
      <c r="DQ121" s="226" t="str">
        <f t="shared" si="135"/>
        <v xml:space="preserve"> </v>
      </c>
      <c r="DR121" s="312">
        <v>8468</v>
      </c>
      <c r="DS121" s="286">
        <f>DM121*Wirtschaftlichkeit!$R$5/Wirtschaftlichkeit!$R$7</f>
        <v>0</v>
      </c>
      <c r="DT121" s="284">
        <f t="shared" si="100"/>
        <v>0</v>
      </c>
      <c r="DV121" s="222">
        <v>8468</v>
      </c>
      <c r="DW121" s="225" t="str">
        <f>IF($C121&gt;=Wirtschaftlichkeit!$S$8,Wirtschaftlichkeit!$S$8,IF(AND($C121&lt;=Wirtschaftlichkeit!$S$8,$C121&gt;=Wirtschaftlichkeit!$S$8*Eingabemaske!$B$18),$C121,"0"))</f>
        <v>0</v>
      </c>
      <c r="DX121" s="222">
        <v>8468</v>
      </c>
      <c r="DY121" s="224">
        <f t="shared" si="101"/>
        <v>0</v>
      </c>
      <c r="DZ121" s="222">
        <v>8468</v>
      </c>
      <c r="EA121" s="226" t="str">
        <f t="shared" si="136"/>
        <v xml:space="preserve"> </v>
      </c>
      <c r="EB121" s="312">
        <v>8468</v>
      </c>
      <c r="EC121" s="286">
        <f>DW121*Wirtschaftlichkeit!$S$5/Wirtschaftlichkeit!$S$7</f>
        <v>0</v>
      </c>
      <c r="ED121" s="284">
        <f t="shared" si="103"/>
        <v>0</v>
      </c>
      <c r="EF121" s="222">
        <v>8468</v>
      </c>
      <c r="EG121" s="225" t="str">
        <f>IF($C121&gt;=Wirtschaftlichkeit!$T$8,Wirtschaftlichkeit!$T$8,IF(AND($C121&lt;=Wirtschaftlichkeit!$T$8,$C121&gt;=Wirtschaftlichkeit!$T$8*Eingabemaske!$B$18),$C121,"0"))</f>
        <v>0</v>
      </c>
      <c r="EH121" s="222">
        <v>8468</v>
      </c>
      <c r="EI121" s="224">
        <f t="shared" si="104"/>
        <v>0</v>
      </c>
      <c r="EJ121" s="222">
        <v>8468</v>
      </c>
      <c r="EK121" s="226" t="str">
        <f t="shared" si="137"/>
        <v xml:space="preserve"> </v>
      </c>
      <c r="EL121" s="312">
        <v>8468</v>
      </c>
      <c r="EM121" s="286">
        <f>EG121*Wirtschaftlichkeit!$T$5/Wirtschaftlichkeit!$T$7</f>
        <v>0</v>
      </c>
      <c r="EN121" s="284">
        <f t="shared" si="106"/>
        <v>0</v>
      </c>
      <c r="EP121" s="222">
        <v>8468</v>
      </c>
      <c r="EQ121" s="225" t="str">
        <f>IF($C121&gt;=Wirtschaftlichkeit!$U$8,Wirtschaftlichkeit!$U$8,IF(AND($C121&lt;=Wirtschaftlichkeit!$U$8,$C121&gt;=Wirtschaftlichkeit!$U$8*Eingabemaske!$B$18),$C121,"0"))</f>
        <v>0</v>
      </c>
      <c r="ER121" s="222">
        <v>8468</v>
      </c>
      <c r="ES121" s="224">
        <f t="shared" si="107"/>
        <v>0</v>
      </c>
      <c r="ET121" s="222">
        <v>8468</v>
      </c>
      <c r="EU121" s="226" t="str">
        <f t="shared" si="138"/>
        <v xml:space="preserve"> </v>
      </c>
      <c r="EV121" s="312">
        <v>8468</v>
      </c>
      <c r="EW121" s="286">
        <f>EQ121*Wirtschaftlichkeit!$U$5/Wirtschaftlichkeit!$U$7</f>
        <v>0</v>
      </c>
      <c r="EX121" s="284">
        <f t="shared" si="109"/>
        <v>0</v>
      </c>
      <c r="EZ121" s="222">
        <v>8468</v>
      </c>
      <c r="FA121" s="225" t="str">
        <f>IF($C121&gt;=Wirtschaftlichkeit!$V$8,Wirtschaftlichkeit!$V$8,IF(AND($C121&lt;=Wirtschaftlichkeit!$V$8,$C121&gt;=Wirtschaftlichkeit!$V$8*Eingabemaske!$B$18),$C121,"0"))</f>
        <v>0</v>
      </c>
      <c r="FB121" s="222">
        <v>8468</v>
      </c>
      <c r="FC121" s="224">
        <f t="shared" si="110"/>
        <v>0</v>
      </c>
      <c r="FD121" s="222">
        <v>8468</v>
      </c>
      <c r="FE121" s="226" t="str">
        <f t="shared" si="139"/>
        <v xml:space="preserve"> </v>
      </c>
      <c r="FF121" s="312">
        <v>8468</v>
      </c>
      <c r="FG121" s="286">
        <f>FA121*Wirtschaftlichkeit!$V$5/Wirtschaftlichkeit!$V$7</f>
        <v>0</v>
      </c>
      <c r="FH121" s="284">
        <f t="shared" si="112"/>
        <v>0</v>
      </c>
      <c r="FJ121" s="222">
        <v>8468</v>
      </c>
      <c r="FK121" s="225" t="str">
        <f>IF($C121&gt;=Wirtschaftlichkeit!$W$8,Wirtschaftlichkeit!$W$8,IF(AND($C121&lt;=Wirtschaftlichkeit!$W$8,$C121&gt;=Wirtschaftlichkeit!$W$8*Eingabemaske!$B$18),$C121,"0"))</f>
        <v>0</v>
      </c>
      <c r="FL121" s="222">
        <v>8468</v>
      </c>
      <c r="FM121" s="224">
        <f t="shared" si="113"/>
        <v>0</v>
      </c>
      <c r="FN121" s="222">
        <v>8468</v>
      </c>
      <c r="FO121" s="226" t="str">
        <f t="shared" si="140"/>
        <v xml:space="preserve"> </v>
      </c>
      <c r="FP121" s="312">
        <v>8468</v>
      </c>
      <c r="FQ121" s="286">
        <f>FK121*Wirtschaftlichkeit!$W$5/Wirtschaftlichkeit!$W$7</f>
        <v>0</v>
      </c>
      <c r="FR121" s="284">
        <f t="shared" si="115"/>
        <v>0</v>
      </c>
      <c r="FT121" s="222">
        <v>8468</v>
      </c>
      <c r="FU121" s="225" t="str">
        <f>IF($C121&gt;=Wirtschaftlichkeit!$X$8,Wirtschaftlichkeit!$X$8,IF(AND($C121&lt;=Wirtschaftlichkeit!$X$8,$C121&gt;=Wirtschaftlichkeit!$X$8*Eingabemaske!$B$18),$C121,"0"))</f>
        <v>0</v>
      </c>
      <c r="FV121" s="222">
        <v>8468</v>
      </c>
      <c r="FW121" s="224">
        <f t="shared" si="116"/>
        <v>0</v>
      </c>
      <c r="FX121" s="222">
        <v>8468</v>
      </c>
      <c r="FY121" s="226" t="str">
        <f t="shared" si="141"/>
        <v xml:space="preserve"> </v>
      </c>
      <c r="FZ121" s="312">
        <v>8468</v>
      </c>
      <c r="GA121" s="286">
        <f>FU121*Wirtschaftlichkeit!$X$5/Wirtschaftlichkeit!$X$7</f>
        <v>0</v>
      </c>
      <c r="GB121" s="284">
        <f t="shared" si="118"/>
        <v>0</v>
      </c>
      <c r="GD121" s="222">
        <v>8468</v>
      </c>
      <c r="GE121" s="225" t="str">
        <f>IF($C121&gt;=Wirtschaftlichkeit!$Y$8,Wirtschaftlichkeit!$Y$8,IF(AND($C121&lt;=Wirtschaftlichkeit!$Y$8,$C121&gt;=Wirtschaftlichkeit!$Y$8*Eingabemaske!$B$18),$C121,"0"))</f>
        <v>0</v>
      </c>
      <c r="GF121" s="222">
        <v>8468</v>
      </c>
      <c r="GG121" s="224">
        <f t="shared" si="119"/>
        <v>0</v>
      </c>
      <c r="GH121" s="222">
        <v>8468</v>
      </c>
      <c r="GI121" s="226" t="str">
        <f t="shared" si="142"/>
        <v xml:space="preserve"> </v>
      </c>
      <c r="GJ121" s="312">
        <v>8468</v>
      </c>
      <c r="GK121" s="286">
        <f>GE121*Wirtschaftlichkeit!$Y$5/Wirtschaftlichkeit!$Y$7</f>
        <v>0</v>
      </c>
      <c r="GL121" s="284">
        <f t="shared" si="121"/>
        <v>0</v>
      </c>
      <c r="GN121" s="222">
        <v>8468</v>
      </c>
      <c r="GO121" s="225" t="str">
        <f>IF($C121&gt;=Wirtschaftlichkeit!$Z$8,Wirtschaftlichkeit!$Z$8,IF(AND($C121&lt;=Wirtschaftlichkeit!$Z$8,$C121&gt;=Wirtschaftlichkeit!$Z$8*Eingabemaske!$B$18),$C121,"0"))</f>
        <v>0</v>
      </c>
      <c r="GP121" s="222">
        <v>8468</v>
      </c>
      <c r="GQ121" s="224">
        <f t="shared" si="122"/>
        <v>0</v>
      </c>
      <c r="GR121" s="222">
        <v>8468</v>
      </c>
      <c r="GS121" s="226" t="str">
        <f t="shared" si="143"/>
        <v xml:space="preserve"> </v>
      </c>
      <c r="GT121" s="312">
        <v>8468</v>
      </c>
      <c r="GU121" s="286">
        <f>GO121*Wirtschaftlichkeit!$Z$5/Wirtschaftlichkeit!$Z$7</f>
        <v>0</v>
      </c>
      <c r="GV121" s="284">
        <f t="shared" si="124"/>
        <v>0</v>
      </c>
      <c r="GW121" s="266"/>
      <c r="GX121" s="258">
        <v>8468</v>
      </c>
      <c r="GY121" s="270" t="str">
        <f>IF(Berechnung_Diagramme!$C$28=Berechnungen_Lastgang!$F$2,Berechnungen_Lastgang!G121,IF(Berechnung_Diagramme!$C$28=Berechnungen_Lastgang!$P$2,Berechnungen_Lastgang!Q121,IF(Berechnung_Diagramme!$C$28=Berechnungen_Lastgang!$Z$2,Berechnungen_Lastgang!AA121,IF(Berechnung_Diagramme!$C$28=Berechnungen_Lastgang!$AJ$2,Berechnungen_Lastgang!AK121,IF(Berechnung_Diagramme!$C$28=Berechnungen_Lastgang!$AT$2,Berechnungen_Lastgang!AU121,IF(Berechnung_Diagramme!$C$28=Berechnungen_Lastgang!$BD$2,Berechnungen_Lastgang!BE121,IF(Berechnung_Diagramme!$C$28=Berechnungen_Lastgang!$BN$2,Berechnungen_Lastgang!BO121,IF(Berechnung_Diagramme!$C$28=Berechnungen_Lastgang!$BX$2,Berechnungen_Lastgang!BY121,IF(Berechnung_Diagramme!$C$28=Berechnungen_Lastgang!$CH$2,Berechnungen_Lastgang!CI121,IF(Berechnung_Diagramme!$C$28=Berechnungen_Lastgang!$CR$2,Berechnungen_Lastgang!CS121,IF(Berechnung_Diagramme!$C$28=Berechnungen_Lastgang!$DB$2,Berechnungen_Lastgang!DC121,IF(Berechnung_Diagramme!$C$28=Berechnungen_Lastgang!$DL$2,Berechnungen_Lastgang!DM121,IF(Berechnung_Diagramme!$C$28=Berechnungen_Lastgang!$DV$2,Berechnungen_Lastgang!DW121,IF(Berechnung_Diagramme!$C$28=Berechnungen_Lastgang!$EF$2,Berechnungen_Lastgang!EG121,IF(Berechnung_Diagramme!$C$28=Berechnungen_Lastgang!$EP$2,Berechnungen_Lastgang!EQ121,IF(Berechnung_Diagramme!$C$28=Berechnungen_Lastgang!$EZ$2,Berechnungen_Lastgang!FA121,IF(Berechnung_Diagramme!$C$28=Berechnungen_Lastgang!$FJ$2,Berechnungen_Lastgang!FK121,IF(Berechnung_Diagramme!$C$28=Berechnungen_Lastgang!$FT$2,Berechnungen_Lastgang!FU121,IF(Berechnung_Diagramme!$C$28=Berechnungen_Lastgang!$GD$2,Berechnungen_Lastgang!GE121,IF(Berechnung_Diagramme!$C$28=Berechnungen_Lastgang!$GN$2,Berechnungen_Lastgang!GO121,""))))))))))))))))))))</f>
        <v>0</v>
      </c>
    </row>
    <row r="122" spans="2:207" x14ac:dyDescent="0.25">
      <c r="B122" s="64">
        <v>8541</v>
      </c>
      <c r="C122" s="67">
        <f>C121+((C125-C121)/(B125-B121))*(B122-B121)</f>
        <v>0.621</v>
      </c>
      <c r="D122" s="66">
        <f t="shared" si="144"/>
        <v>37.777500000000003</v>
      </c>
      <c r="F122" s="64">
        <v>8541</v>
      </c>
      <c r="G122" s="225" t="str">
        <f>IF($C122&gt;=Wirtschaftlichkeit!$G$8,Wirtschaftlichkeit!$G$8,IF(AND($C122&lt;=Wirtschaftlichkeit!$G$8,$C122&gt;=Wirtschaftlichkeit!$G$8*Eingabemaske!$B$18),$C122,"0"))</f>
        <v>0</v>
      </c>
      <c r="H122" s="64">
        <v>8541</v>
      </c>
      <c r="I122" s="66">
        <f t="shared" si="145"/>
        <v>0</v>
      </c>
      <c r="J122" s="64">
        <v>8541</v>
      </c>
      <c r="K122" s="71" t="str">
        <f t="shared" si="146"/>
        <v xml:space="preserve"> </v>
      </c>
      <c r="L122" s="312">
        <v>8541</v>
      </c>
      <c r="M122" s="286">
        <f>G122*Wirtschaftlichkeit!$G$5/Wirtschaftlichkeit!$G$7</f>
        <v>0</v>
      </c>
      <c r="N122" s="284">
        <f t="shared" si="67"/>
        <v>0</v>
      </c>
      <c r="P122" s="222">
        <v>8541</v>
      </c>
      <c r="Q122" s="225" t="str">
        <f>IF($C122&gt;=Wirtschaftlichkeit!$H$8,Wirtschaftlichkeit!$H$8,IF(AND($C122&lt;=Wirtschaftlichkeit!$H$8,$C122&gt;=Wirtschaftlichkeit!$H$8*Eingabemaske!$B$18),$C122,"0"))</f>
        <v>0</v>
      </c>
      <c r="R122" s="222">
        <v>8541</v>
      </c>
      <c r="S122" s="224">
        <f t="shared" si="68"/>
        <v>0</v>
      </c>
      <c r="T122" s="222">
        <v>8541</v>
      </c>
      <c r="U122" s="226" t="str">
        <f t="shared" si="125"/>
        <v xml:space="preserve"> </v>
      </c>
      <c r="V122" s="312">
        <v>8541</v>
      </c>
      <c r="W122" s="286">
        <f>Q122*Wirtschaftlichkeit!$H$5/Wirtschaftlichkeit!$H$7</f>
        <v>0</v>
      </c>
      <c r="X122" s="284">
        <f t="shared" si="70"/>
        <v>0</v>
      </c>
      <c r="Z122" s="222">
        <v>8541</v>
      </c>
      <c r="AA122" s="225" t="str">
        <f>IF($C122&gt;=Wirtschaftlichkeit!$I$8,Wirtschaftlichkeit!$I$8,IF(AND($C122&lt;=Wirtschaftlichkeit!$I$8,$C122&gt;=Wirtschaftlichkeit!$I$8*Eingabemaske!$B$18),$C122,"0"))</f>
        <v>0</v>
      </c>
      <c r="AB122" s="222">
        <v>8541</v>
      </c>
      <c r="AC122" s="224">
        <f t="shared" si="71"/>
        <v>0</v>
      </c>
      <c r="AD122" s="222">
        <v>8541</v>
      </c>
      <c r="AE122" s="226" t="str">
        <f t="shared" si="126"/>
        <v xml:space="preserve"> </v>
      </c>
      <c r="AF122" s="312">
        <v>8541</v>
      </c>
      <c r="AG122" s="286">
        <f>AA122*Wirtschaftlichkeit!$I$5/Wirtschaftlichkeit!$I$7</f>
        <v>0</v>
      </c>
      <c r="AH122" s="284">
        <f t="shared" si="73"/>
        <v>0</v>
      </c>
      <c r="AJ122" s="222">
        <v>8541</v>
      </c>
      <c r="AK122" s="225" t="str">
        <f>IF($C122&gt;=Wirtschaftlichkeit!$J$8,Wirtschaftlichkeit!$J$8,IF(AND($C122&lt;=Wirtschaftlichkeit!$J$8,$C122&gt;=Wirtschaftlichkeit!$J$8*Eingabemaske!$B$18),$C122,"0"))</f>
        <v>0</v>
      </c>
      <c r="AL122" s="222">
        <v>8541</v>
      </c>
      <c r="AM122" s="224">
        <f t="shared" si="74"/>
        <v>0</v>
      </c>
      <c r="AN122" s="222">
        <v>8541</v>
      </c>
      <c r="AO122" s="226" t="str">
        <f t="shared" si="127"/>
        <v xml:space="preserve"> </v>
      </c>
      <c r="AP122" s="312">
        <v>8541</v>
      </c>
      <c r="AQ122" s="286">
        <f>AK122*Wirtschaftlichkeit!$J$5/Wirtschaftlichkeit!$J$7</f>
        <v>0</v>
      </c>
      <c r="AR122" s="284">
        <f t="shared" si="76"/>
        <v>0</v>
      </c>
      <c r="AT122" s="222">
        <v>8541</v>
      </c>
      <c r="AU122" s="225" t="str">
        <f>IF($C122&gt;=Wirtschaftlichkeit!$K$8,Wirtschaftlichkeit!$K$8,IF(AND($C122&lt;=Wirtschaftlichkeit!$K$8,$C122&gt;=Wirtschaftlichkeit!$K$8*Eingabemaske!$B$18),$C122,"0"))</f>
        <v>0</v>
      </c>
      <c r="AV122" s="222">
        <v>8541</v>
      </c>
      <c r="AW122" s="224">
        <f t="shared" si="77"/>
        <v>0</v>
      </c>
      <c r="AX122" s="222">
        <v>8541</v>
      </c>
      <c r="AY122" s="226" t="str">
        <f t="shared" si="128"/>
        <v xml:space="preserve"> </v>
      </c>
      <c r="AZ122" s="312">
        <v>8541</v>
      </c>
      <c r="BA122" s="286">
        <f>AU122*Wirtschaftlichkeit!$K$5/Wirtschaftlichkeit!$K$7</f>
        <v>0</v>
      </c>
      <c r="BB122" s="284">
        <f t="shared" si="79"/>
        <v>0</v>
      </c>
      <c r="BD122" s="222">
        <v>8541</v>
      </c>
      <c r="BE122" s="225" t="str">
        <f>IF($C122&gt;=Wirtschaftlichkeit!$L$8,Wirtschaftlichkeit!$L$8,IF(AND($C122&lt;=Wirtschaftlichkeit!$L$8,$C122&gt;=Wirtschaftlichkeit!$L$8*Eingabemaske!$B$18),$C122,"0"))</f>
        <v>0</v>
      </c>
      <c r="BF122" s="222">
        <v>8541</v>
      </c>
      <c r="BG122" s="224">
        <f t="shared" si="80"/>
        <v>0</v>
      </c>
      <c r="BH122" s="222">
        <v>8541</v>
      </c>
      <c r="BI122" s="226" t="str">
        <f t="shared" si="129"/>
        <v xml:space="preserve"> </v>
      </c>
      <c r="BJ122" s="312">
        <v>8541</v>
      </c>
      <c r="BK122" s="286">
        <f>BE122*Wirtschaftlichkeit!$L$5/Wirtschaftlichkeit!$L$7</f>
        <v>0</v>
      </c>
      <c r="BL122" s="284">
        <f t="shared" si="82"/>
        <v>0</v>
      </c>
      <c r="BN122" s="222">
        <v>8541</v>
      </c>
      <c r="BO122" s="225" t="str">
        <f>IF($C122&gt;=Wirtschaftlichkeit!$M$8,Wirtschaftlichkeit!$M$8,IF(AND($C122&lt;=Wirtschaftlichkeit!$M$8,$C122&gt;=Wirtschaftlichkeit!$M$8*Eingabemaske!$B$18),$C122,"0"))</f>
        <v>0</v>
      </c>
      <c r="BP122" s="222">
        <v>8541</v>
      </c>
      <c r="BQ122" s="224">
        <f t="shared" si="83"/>
        <v>0</v>
      </c>
      <c r="BR122" s="222">
        <v>8541</v>
      </c>
      <c r="BS122" s="226" t="str">
        <f t="shared" si="130"/>
        <v xml:space="preserve"> </v>
      </c>
      <c r="BT122" s="312">
        <v>8541</v>
      </c>
      <c r="BU122" s="286">
        <f>BO122*Wirtschaftlichkeit!$M$5/Wirtschaftlichkeit!$M$7</f>
        <v>0</v>
      </c>
      <c r="BV122" s="284">
        <f t="shared" si="85"/>
        <v>0</v>
      </c>
      <c r="BX122" s="222">
        <v>8541</v>
      </c>
      <c r="BY122" s="225" t="str">
        <f>IF($C122&gt;=Wirtschaftlichkeit!$N$8,Wirtschaftlichkeit!$N$8,IF(AND($C122&lt;=Wirtschaftlichkeit!$N$8,$C122&gt;=Wirtschaftlichkeit!$N$8*Eingabemaske!$B$18),$C122,"0"))</f>
        <v>0</v>
      </c>
      <c r="BZ122" s="222">
        <v>8541</v>
      </c>
      <c r="CA122" s="224">
        <f t="shared" si="86"/>
        <v>0</v>
      </c>
      <c r="CB122" s="222">
        <v>8541</v>
      </c>
      <c r="CC122" s="226" t="str">
        <f t="shared" si="131"/>
        <v xml:space="preserve"> </v>
      </c>
      <c r="CD122" s="312">
        <v>8541</v>
      </c>
      <c r="CE122" s="286">
        <f>BY122*Wirtschaftlichkeit!$N$5/Wirtschaftlichkeit!$N$7</f>
        <v>0</v>
      </c>
      <c r="CF122" s="284">
        <f t="shared" si="88"/>
        <v>0</v>
      </c>
      <c r="CH122" s="222">
        <v>8541</v>
      </c>
      <c r="CI122" s="225" t="str">
        <f>IF($C122&gt;=Wirtschaftlichkeit!$O$8,Wirtschaftlichkeit!$O$8,IF(AND($C122&lt;=Wirtschaftlichkeit!$O$8,$C122&gt;=Wirtschaftlichkeit!$O$8*Eingabemaske!$B$18),$C122,"0"))</f>
        <v>0</v>
      </c>
      <c r="CJ122" s="222">
        <v>8541</v>
      </c>
      <c r="CK122" s="224">
        <f t="shared" si="89"/>
        <v>0</v>
      </c>
      <c r="CL122" s="222">
        <v>8541</v>
      </c>
      <c r="CM122" s="226" t="str">
        <f t="shared" si="132"/>
        <v xml:space="preserve"> </v>
      </c>
      <c r="CN122" s="312">
        <v>8541</v>
      </c>
      <c r="CO122" s="286">
        <f>CI122*Wirtschaftlichkeit!$O$5/Wirtschaftlichkeit!$O$7</f>
        <v>0</v>
      </c>
      <c r="CP122" s="284">
        <f t="shared" si="91"/>
        <v>0</v>
      </c>
      <c r="CR122" s="222">
        <v>8541</v>
      </c>
      <c r="CS122" s="225" t="str">
        <f>IF($C122&gt;=Wirtschaftlichkeit!$P$8,Wirtschaftlichkeit!$P$8,IF(AND($C122&lt;=Wirtschaftlichkeit!$P$8,$C122&gt;=Wirtschaftlichkeit!$P$8*Eingabemaske!$B$18),$C122,"0"))</f>
        <v>0</v>
      </c>
      <c r="CT122" s="222">
        <v>8541</v>
      </c>
      <c r="CU122" s="224">
        <f t="shared" si="92"/>
        <v>0</v>
      </c>
      <c r="CV122" s="222">
        <v>8541</v>
      </c>
      <c r="CW122" s="226" t="str">
        <f t="shared" si="133"/>
        <v xml:space="preserve"> </v>
      </c>
      <c r="CX122" s="312">
        <v>8541</v>
      </c>
      <c r="CY122" s="286">
        <f>CS122*Wirtschaftlichkeit!$P$5/Wirtschaftlichkeit!$P$7</f>
        <v>0</v>
      </c>
      <c r="CZ122" s="284">
        <f t="shared" si="94"/>
        <v>0</v>
      </c>
      <c r="DB122" s="222">
        <v>8541</v>
      </c>
      <c r="DC122" s="225" t="str">
        <f>IF($C122&gt;=Wirtschaftlichkeit!$Q$8,Wirtschaftlichkeit!$Q$8,IF(AND($C122&lt;=Wirtschaftlichkeit!$Q$8,$C122&gt;=Wirtschaftlichkeit!$Q$8*Eingabemaske!$B$18),$C122,"0"))</f>
        <v>0</v>
      </c>
      <c r="DD122" s="222">
        <v>8541</v>
      </c>
      <c r="DE122" s="224">
        <f t="shared" si="95"/>
        <v>0</v>
      </c>
      <c r="DF122" s="222">
        <v>8541</v>
      </c>
      <c r="DG122" s="226" t="str">
        <f t="shared" si="134"/>
        <v xml:space="preserve"> </v>
      </c>
      <c r="DH122" s="312">
        <v>8541</v>
      </c>
      <c r="DI122" s="286">
        <f>DC122*Wirtschaftlichkeit!$Q$5/Wirtschaftlichkeit!$Q$7</f>
        <v>0</v>
      </c>
      <c r="DJ122" s="284">
        <f t="shared" si="97"/>
        <v>0</v>
      </c>
      <c r="DL122" s="222">
        <v>8541</v>
      </c>
      <c r="DM122" s="225" t="str">
        <f>IF($C122&gt;=Wirtschaftlichkeit!$R$8,Wirtschaftlichkeit!$R$8,IF(AND($C122&lt;=Wirtschaftlichkeit!$R$8,$C122&gt;=Wirtschaftlichkeit!$R$8*Eingabemaske!$B$18),$C122,"0"))</f>
        <v>0</v>
      </c>
      <c r="DN122" s="222">
        <v>8541</v>
      </c>
      <c r="DO122" s="224">
        <f t="shared" si="98"/>
        <v>0</v>
      </c>
      <c r="DP122" s="222">
        <v>8541</v>
      </c>
      <c r="DQ122" s="226" t="str">
        <f t="shared" si="135"/>
        <v xml:space="preserve"> </v>
      </c>
      <c r="DR122" s="312">
        <v>8541</v>
      </c>
      <c r="DS122" s="286">
        <f>DM122*Wirtschaftlichkeit!$R$5/Wirtschaftlichkeit!$R$7</f>
        <v>0</v>
      </c>
      <c r="DT122" s="284">
        <f t="shared" si="100"/>
        <v>0</v>
      </c>
      <c r="DV122" s="222">
        <v>8541</v>
      </c>
      <c r="DW122" s="225" t="str">
        <f>IF($C122&gt;=Wirtschaftlichkeit!$S$8,Wirtschaftlichkeit!$S$8,IF(AND($C122&lt;=Wirtschaftlichkeit!$S$8,$C122&gt;=Wirtschaftlichkeit!$S$8*Eingabemaske!$B$18),$C122,"0"))</f>
        <v>0</v>
      </c>
      <c r="DX122" s="222">
        <v>8541</v>
      </c>
      <c r="DY122" s="224">
        <f t="shared" si="101"/>
        <v>0</v>
      </c>
      <c r="DZ122" s="222">
        <v>8541</v>
      </c>
      <c r="EA122" s="226" t="str">
        <f t="shared" si="136"/>
        <v xml:space="preserve"> </v>
      </c>
      <c r="EB122" s="312">
        <v>8541</v>
      </c>
      <c r="EC122" s="286">
        <f>DW122*Wirtschaftlichkeit!$S$5/Wirtschaftlichkeit!$S$7</f>
        <v>0</v>
      </c>
      <c r="ED122" s="284">
        <f t="shared" si="103"/>
        <v>0</v>
      </c>
      <c r="EF122" s="222">
        <v>8541</v>
      </c>
      <c r="EG122" s="225" t="str">
        <f>IF($C122&gt;=Wirtschaftlichkeit!$T$8,Wirtschaftlichkeit!$T$8,IF(AND($C122&lt;=Wirtschaftlichkeit!$T$8,$C122&gt;=Wirtschaftlichkeit!$T$8*Eingabemaske!$B$18),$C122,"0"))</f>
        <v>0</v>
      </c>
      <c r="EH122" s="222">
        <v>8541</v>
      </c>
      <c r="EI122" s="224">
        <f t="shared" si="104"/>
        <v>0</v>
      </c>
      <c r="EJ122" s="222">
        <v>8541</v>
      </c>
      <c r="EK122" s="226" t="str">
        <f t="shared" si="137"/>
        <v xml:space="preserve"> </v>
      </c>
      <c r="EL122" s="312">
        <v>8541</v>
      </c>
      <c r="EM122" s="286">
        <f>EG122*Wirtschaftlichkeit!$T$5/Wirtschaftlichkeit!$T$7</f>
        <v>0</v>
      </c>
      <c r="EN122" s="284">
        <f t="shared" si="106"/>
        <v>0</v>
      </c>
      <c r="EP122" s="222">
        <v>8541</v>
      </c>
      <c r="EQ122" s="225" t="str">
        <f>IF($C122&gt;=Wirtschaftlichkeit!$U$8,Wirtschaftlichkeit!$U$8,IF(AND($C122&lt;=Wirtschaftlichkeit!$U$8,$C122&gt;=Wirtschaftlichkeit!$U$8*Eingabemaske!$B$18),$C122,"0"))</f>
        <v>0</v>
      </c>
      <c r="ER122" s="222">
        <v>8541</v>
      </c>
      <c r="ES122" s="224">
        <f t="shared" si="107"/>
        <v>0</v>
      </c>
      <c r="ET122" s="222">
        <v>8541</v>
      </c>
      <c r="EU122" s="226" t="str">
        <f t="shared" si="138"/>
        <v xml:space="preserve"> </v>
      </c>
      <c r="EV122" s="312">
        <v>8541</v>
      </c>
      <c r="EW122" s="286">
        <f>EQ122*Wirtschaftlichkeit!$U$5/Wirtschaftlichkeit!$U$7</f>
        <v>0</v>
      </c>
      <c r="EX122" s="284">
        <f t="shared" si="109"/>
        <v>0</v>
      </c>
      <c r="EZ122" s="222">
        <v>8541</v>
      </c>
      <c r="FA122" s="225" t="str">
        <f>IF($C122&gt;=Wirtschaftlichkeit!$V$8,Wirtschaftlichkeit!$V$8,IF(AND($C122&lt;=Wirtschaftlichkeit!$V$8,$C122&gt;=Wirtschaftlichkeit!$V$8*Eingabemaske!$B$18),$C122,"0"))</f>
        <v>0</v>
      </c>
      <c r="FB122" s="222">
        <v>8541</v>
      </c>
      <c r="FC122" s="224">
        <f t="shared" si="110"/>
        <v>0</v>
      </c>
      <c r="FD122" s="222">
        <v>8541</v>
      </c>
      <c r="FE122" s="226" t="str">
        <f t="shared" si="139"/>
        <v xml:space="preserve"> </v>
      </c>
      <c r="FF122" s="312">
        <v>8541</v>
      </c>
      <c r="FG122" s="286">
        <f>FA122*Wirtschaftlichkeit!$V$5/Wirtschaftlichkeit!$V$7</f>
        <v>0</v>
      </c>
      <c r="FH122" s="284">
        <f t="shared" si="112"/>
        <v>0</v>
      </c>
      <c r="FJ122" s="222">
        <v>8541</v>
      </c>
      <c r="FK122" s="225" t="str">
        <f>IF($C122&gt;=Wirtschaftlichkeit!$W$8,Wirtschaftlichkeit!$W$8,IF(AND($C122&lt;=Wirtschaftlichkeit!$W$8,$C122&gt;=Wirtschaftlichkeit!$W$8*Eingabemaske!$B$18),$C122,"0"))</f>
        <v>0</v>
      </c>
      <c r="FL122" s="222">
        <v>8541</v>
      </c>
      <c r="FM122" s="224">
        <f t="shared" si="113"/>
        <v>0</v>
      </c>
      <c r="FN122" s="222">
        <v>8541</v>
      </c>
      <c r="FO122" s="226" t="str">
        <f t="shared" si="140"/>
        <v xml:space="preserve"> </v>
      </c>
      <c r="FP122" s="312">
        <v>8541</v>
      </c>
      <c r="FQ122" s="286">
        <f>FK122*Wirtschaftlichkeit!$W$5/Wirtschaftlichkeit!$W$7</f>
        <v>0</v>
      </c>
      <c r="FR122" s="284">
        <f t="shared" si="115"/>
        <v>0</v>
      </c>
      <c r="FT122" s="222">
        <v>8541</v>
      </c>
      <c r="FU122" s="225" t="str">
        <f>IF($C122&gt;=Wirtschaftlichkeit!$X$8,Wirtschaftlichkeit!$X$8,IF(AND($C122&lt;=Wirtschaftlichkeit!$X$8,$C122&gt;=Wirtschaftlichkeit!$X$8*Eingabemaske!$B$18),$C122,"0"))</f>
        <v>0</v>
      </c>
      <c r="FV122" s="222">
        <v>8541</v>
      </c>
      <c r="FW122" s="224">
        <f t="shared" si="116"/>
        <v>0</v>
      </c>
      <c r="FX122" s="222">
        <v>8541</v>
      </c>
      <c r="FY122" s="226" t="str">
        <f t="shared" si="141"/>
        <v xml:space="preserve"> </v>
      </c>
      <c r="FZ122" s="312">
        <v>8541</v>
      </c>
      <c r="GA122" s="286">
        <f>FU122*Wirtschaftlichkeit!$X$5/Wirtschaftlichkeit!$X$7</f>
        <v>0</v>
      </c>
      <c r="GB122" s="284">
        <f t="shared" si="118"/>
        <v>0</v>
      </c>
      <c r="GD122" s="222">
        <v>8541</v>
      </c>
      <c r="GE122" s="225" t="str">
        <f>IF($C122&gt;=Wirtschaftlichkeit!$Y$8,Wirtschaftlichkeit!$Y$8,IF(AND($C122&lt;=Wirtschaftlichkeit!$Y$8,$C122&gt;=Wirtschaftlichkeit!$Y$8*Eingabemaske!$B$18),$C122,"0"))</f>
        <v>0</v>
      </c>
      <c r="GF122" s="222">
        <v>8541</v>
      </c>
      <c r="GG122" s="224">
        <f t="shared" si="119"/>
        <v>0</v>
      </c>
      <c r="GH122" s="222">
        <v>8541</v>
      </c>
      <c r="GI122" s="226" t="str">
        <f t="shared" si="142"/>
        <v xml:space="preserve"> </v>
      </c>
      <c r="GJ122" s="312">
        <v>8541</v>
      </c>
      <c r="GK122" s="286">
        <f>GE122*Wirtschaftlichkeit!$Y$5/Wirtschaftlichkeit!$Y$7</f>
        <v>0</v>
      </c>
      <c r="GL122" s="284">
        <f t="shared" si="121"/>
        <v>0</v>
      </c>
      <c r="GN122" s="222">
        <v>8541</v>
      </c>
      <c r="GO122" s="225" t="str">
        <f>IF($C122&gt;=Wirtschaftlichkeit!$Z$8,Wirtschaftlichkeit!$Z$8,IF(AND($C122&lt;=Wirtschaftlichkeit!$Z$8,$C122&gt;=Wirtschaftlichkeit!$Z$8*Eingabemaske!$B$18),$C122,"0"))</f>
        <v>0</v>
      </c>
      <c r="GP122" s="222">
        <v>8541</v>
      </c>
      <c r="GQ122" s="224">
        <f t="shared" si="122"/>
        <v>0</v>
      </c>
      <c r="GR122" s="222">
        <v>8541</v>
      </c>
      <c r="GS122" s="226" t="str">
        <f t="shared" si="143"/>
        <v xml:space="preserve"> </v>
      </c>
      <c r="GT122" s="312">
        <v>8541</v>
      </c>
      <c r="GU122" s="286">
        <f>GO122*Wirtschaftlichkeit!$Z$5/Wirtschaftlichkeit!$Z$7</f>
        <v>0</v>
      </c>
      <c r="GV122" s="284">
        <f t="shared" si="124"/>
        <v>0</v>
      </c>
      <c r="GW122" s="266"/>
      <c r="GX122" s="258">
        <v>8541</v>
      </c>
      <c r="GY122" s="270" t="str">
        <f>IF(Berechnung_Diagramme!$C$28=Berechnungen_Lastgang!$F$2,Berechnungen_Lastgang!G122,IF(Berechnung_Diagramme!$C$28=Berechnungen_Lastgang!$P$2,Berechnungen_Lastgang!Q122,IF(Berechnung_Diagramme!$C$28=Berechnungen_Lastgang!$Z$2,Berechnungen_Lastgang!AA122,IF(Berechnung_Diagramme!$C$28=Berechnungen_Lastgang!$AJ$2,Berechnungen_Lastgang!AK122,IF(Berechnung_Diagramme!$C$28=Berechnungen_Lastgang!$AT$2,Berechnungen_Lastgang!AU122,IF(Berechnung_Diagramme!$C$28=Berechnungen_Lastgang!$BD$2,Berechnungen_Lastgang!BE122,IF(Berechnung_Diagramme!$C$28=Berechnungen_Lastgang!$BN$2,Berechnungen_Lastgang!BO122,IF(Berechnung_Diagramme!$C$28=Berechnungen_Lastgang!$BX$2,Berechnungen_Lastgang!BY122,IF(Berechnung_Diagramme!$C$28=Berechnungen_Lastgang!$CH$2,Berechnungen_Lastgang!CI122,IF(Berechnung_Diagramme!$C$28=Berechnungen_Lastgang!$CR$2,Berechnungen_Lastgang!CS122,IF(Berechnung_Diagramme!$C$28=Berechnungen_Lastgang!$DB$2,Berechnungen_Lastgang!DC122,IF(Berechnung_Diagramme!$C$28=Berechnungen_Lastgang!$DL$2,Berechnungen_Lastgang!DM122,IF(Berechnung_Diagramme!$C$28=Berechnungen_Lastgang!$DV$2,Berechnungen_Lastgang!DW122,IF(Berechnung_Diagramme!$C$28=Berechnungen_Lastgang!$EF$2,Berechnungen_Lastgang!EG122,IF(Berechnung_Diagramme!$C$28=Berechnungen_Lastgang!$EP$2,Berechnungen_Lastgang!EQ122,IF(Berechnung_Diagramme!$C$28=Berechnungen_Lastgang!$EZ$2,Berechnungen_Lastgang!FA122,IF(Berechnung_Diagramme!$C$28=Berechnungen_Lastgang!$FJ$2,Berechnungen_Lastgang!FK122,IF(Berechnung_Diagramme!$C$28=Berechnungen_Lastgang!$FT$2,Berechnungen_Lastgang!FU122,IF(Berechnung_Diagramme!$C$28=Berechnungen_Lastgang!$GD$2,Berechnungen_Lastgang!GE122,IF(Berechnung_Diagramme!$C$28=Berechnungen_Lastgang!$GN$2,Berechnungen_Lastgang!GO122,""))))))))))))))))))))</f>
        <v>0</v>
      </c>
    </row>
    <row r="123" spans="2:207" x14ac:dyDescent="0.25">
      <c r="B123" s="64">
        <v>8614</v>
      </c>
      <c r="C123" s="67">
        <f>C122+((C125-C122)/(B125-B122))*(B123-B122)</f>
        <v>0.41400000000000003</v>
      </c>
      <c r="D123" s="66">
        <f t="shared" si="144"/>
        <v>22.666499999999999</v>
      </c>
      <c r="F123" s="64">
        <v>8614</v>
      </c>
      <c r="G123" s="225" t="str">
        <f>IF($C123&gt;=Wirtschaftlichkeit!$G$8,Wirtschaftlichkeit!$G$8,IF(AND($C123&lt;=Wirtschaftlichkeit!$G$8,$C123&gt;=Wirtschaftlichkeit!$G$8*Eingabemaske!$B$18),$C123,"0"))</f>
        <v>0</v>
      </c>
      <c r="H123" s="64">
        <v>8614</v>
      </c>
      <c r="I123" s="66">
        <f t="shared" si="145"/>
        <v>0</v>
      </c>
      <c r="J123" s="64">
        <v>8614</v>
      </c>
      <c r="K123" s="71" t="str">
        <f t="shared" si="146"/>
        <v xml:space="preserve"> </v>
      </c>
      <c r="L123" s="312">
        <v>8614</v>
      </c>
      <c r="M123" s="286">
        <f>G123*Wirtschaftlichkeit!$G$5/Wirtschaftlichkeit!$G$7</f>
        <v>0</v>
      </c>
      <c r="N123" s="284">
        <f t="shared" si="67"/>
        <v>0</v>
      </c>
      <c r="P123" s="222">
        <v>8614</v>
      </c>
      <c r="Q123" s="225" t="str">
        <f>IF($C123&gt;=Wirtschaftlichkeit!$H$8,Wirtschaftlichkeit!$H$8,IF(AND($C123&lt;=Wirtschaftlichkeit!$H$8,$C123&gt;=Wirtschaftlichkeit!$H$8*Eingabemaske!$B$18),$C123,"0"))</f>
        <v>0</v>
      </c>
      <c r="R123" s="222">
        <v>8614</v>
      </c>
      <c r="S123" s="224">
        <f t="shared" si="68"/>
        <v>0</v>
      </c>
      <c r="T123" s="222">
        <v>8614</v>
      </c>
      <c r="U123" s="226" t="str">
        <f t="shared" si="125"/>
        <v xml:space="preserve"> </v>
      </c>
      <c r="V123" s="312">
        <v>8614</v>
      </c>
      <c r="W123" s="286">
        <f>Q123*Wirtschaftlichkeit!$H$5/Wirtschaftlichkeit!$H$7</f>
        <v>0</v>
      </c>
      <c r="X123" s="284">
        <f t="shared" si="70"/>
        <v>0</v>
      </c>
      <c r="Z123" s="222">
        <v>8614</v>
      </c>
      <c r="AA123" s="225" t="str">
        <f>IF($C123&gt;=Wirtschaftlichkeit!$I$8,Wirtschaftlichkeit!$I$8,IF(AND($C123&lt;=Wirtschaftlichkeit!$I$8,$C123&gt;=Wirtschaftlichkeit!$I$8*Eingabemaske!$B$18),$C123,"0"))</f>
        <v>0</v>
      </c>
      <c r="AB123" s="222">
        <v>8614</v>
      </c>
      <c r="AC123" s="224">
        <f t="shared" si="71"/>
        <v>0</v>
      </c>
      <c r="AD123" s="222">
        <v>8614</v>
      </c>
      <c r="AE123" s="226" t="str">
        <f t="shared" si="126"/>
        <v xml:space="preserve"> </v>
      </c>
      <c r="AF123" s="312">
        <v>8614</v>
      </c>
      <c r="AG123" s="286">
        <f>AA123*Wirtschaftlichkeit!$I$5/Wirtschaftlichkeit!$I$7</f>
        <v>0</v>
      </c>
      <c r="AH123" s="284">
        <f t="shared" si="73"/>
        <v>0</v>
      </c>
      <c r="AJ123" s="222">
        <v>8614</v>
      </c>
      <c r="AK123" s="225" t="str">
        <f>IF($C123&gt;=Wirtschaftlichkeit!$J$8,Wirtschaftlichkeit!$J$8,IF(AND($C123&lt;=Wirtschaftlichkeit!$J$8,$C123&gt;=Wirtschaftlichkeit!$J$8*Eingabemaske!$B$18),$C123,"0"))</f>
        <v>0</v>
      </c>
      <c r="AL123" s="222">
        <v>8614</v>
      </c>
      <c r="AM123" s="224">
        <f t="shared" si="74"/>
        <v>0</v>
      </c>
      <c r="AN123" s="222">
        <v>8614</v>
      </c>
      <c r="AO123" s="226" t="str">
        <f t="shared" si="127"/>
        <v xml:space="preserve"> </v>
      </c>
      <c r="AP123" s="312">
        <v>8614</v>
      </c>
      <c r="AQ123" s="286">
        <f>AK123*Wirtschaftlichkeit!$J$5/Wirtschaftlichkeit!$J$7</f>
        <v>0</v>
      </c>
      <c r="AR123" s="284">
        <f t="shared" si="76"/>
        <v>0</v>
      </c>
      <c r="AT123" s="222">
        <v>8614</v>
      </c>
      <c r="AU123" s="225" t="str">
        <f>IF($C123&gt;=Wirtschaftlichkeit!$K$8,Wirtschaftlichkeit!$K$8,IF(AND($C123&lt;=Wirtschaftlichkeit!$K$8,$C123&gt;=Wirtschaftlichkeit!$K$8*Eingabemaske!$B$18),$C123,"0"))</f>
        <v>0</v>
      </c>
      <c r="AV123" s="222">
        <v>8614</v>
      </c>
      <c r="AW123" s="224">
        <f t="shared" si="77"/>
        <v>0</v>
      </c>
      <c r="AX123" s="222">
        <v>8614</v>
      </c>
      <c r="AY123" s="226" t="str">
        <f t="shared" si="128"/>
        <v xml:space="preserve"> </v>
      </c>
      <c r="AZ123" s="312">
        <v>8614</v>
      </c>
      <c r="BA123" s="286">
        <f>AU123*Wirtschaftlichkeit!$K$5/Wirtschaftlichkeit!$K$7</f>
        <v>0</v>
      </c>
      <c r="BB123" s="284">
        <f t="shared" si="79"/>
        <v>0</v>
      </c>
      <c r="BD123" s="222">
        <v>8614</v>
      </c>
      <c r="BE123" s="225" t="str">
        <f>IF($C123&gt;=Wirtschaftlichkeit!$L$8,Wirtschaftlichkeit!$L$8,IF(AND($C123&lt;=Wirtschaftlichkeit!$L$8,$C123&gt;=Wirtschaftlichkeit!$L$8*Eingabemaske!$B$18),$C123,"0"))</f>
        <v>0</v>
      </c>
      <c r="BF123" s="222">
        <v>8614</v>
      </c>
      <c r="BG123" s="224">
        <f t="shared" si="80"/>
        <v>0</v>
      </c>
      <c r="BH123" s="222">
        <v>8614</v>
      </c>
      <c r="BI123" s="226" t="str">
        <f t="shared" si="129"/>
        <v xml:space="preserve"> </v>
      </c>
      <c r="BJ123" s="312">
        <v>8614</v>
      </c>
      <c r="BK123" s="286">
        <f>BE123*Wirtschaftlichkeit!$L$5/Wirtschaftlichkeit!$L$7</f>
        <v>0</v>
      </c>
      <c r="BL123" s="284">
        <f t="shared" si="82"/>
        <v>0</v>
      </c>
      <c r="BN123" s="222">
        <v>8614</v>
      </c>
      <c r="BO123" s="225" t="str">
        <f>IF($C123&gt;=Wirtschaftlichkeit!$M$8,Wirtschaftlichkeit!$M$8,IF(AND($C123&lt;=Wirtschaftlichkeit!$M$8,$C123&gt;=Wirtschaftlichkeit!$M$8*Eingabemaske!$B$18),$C123,"0"))</f>
        <v>0</v>
      </c>
      <c r="BP123" s="222">
        <v>8614</v>
      </c>
      <c r="BQ123" s="224">
        <f t="shared" si="83"/>
        <v>0</v>
      </c>
      <c r="BR123" s="222">
        <v>8614</v>
      </c>
      <c r="BS123" s="226" t="str">
        <f t="shared" si="130"/>
        <v xml:space="preserve"> </v>
      </c>
      <c r="BT123" s="312">
        <v>8614</v>
      </c>
      <c r="BU123" s="286">
        <f>BO123*Wirtschaftlichkeit!$M$5/Wirtschaftlichkeit!$M$7</f>
        <v>0</v>
      </c>
      <c r="BV123" s="284">
        <f t="shared" si="85"/>
        <v>0</v>
      </c>
      <c r="BX123" s="222">
        <v>8614</v>
      </c>
      <c r="BY123" s="225" t="str">
        <f>IF($C123&gt;=Wirtschaftlichkeit!$N$8,Wirtschaftlichkeit!$N$8,IF(AND($C123&lt;=Wirtschaftlichkeit!$N$8,$C123&gt;=Wirtschaftlichkeit!$N$8*Eingabemaske!$B$18),$C123,"0"))</f>
        <v>0</v>
      </c>
      <c r="BZ123" s="222">
        <v>8614</v>
      </c>
      <c r="CA123" s="224">
        <f t="shared" si="86"/>
        <v>0</v>
      </c>
      <c r="CB123" s="222">
        <v>8614</v>
      </c>
      <c r="CC123" s="226" t="str">
        <f t="shared" si="131"/>
        <v xml:space="preserve"> </v>
      </c>
      <c r="CD123" s="312">
        <v>8614</v>
      </c>
      <c r="CE123" s="286">
        <f>BY123*Wirtschaftlichkeit!$N$5/Wirtschaftlichkeit!$N$7</f>
        <v>0</v>
      </c>
      <c r="CF123" s="284">
        <f t="shared" si="88"/>
        <v>0</v>
      </c>
      <c r="CH123" s="222">
        <v>8614</v>
      </c>
      <c r="CI123" s="225" t="str">
        <f>IF($C123&gt;=Wirtschaftlichkeit!$O$8,Wirtschaftlichkeit!$O$8,IF(AND($C123&lt;=Wirtschaftlichkeit!$O$8,$C123&gt;=Wirtschaftlichkeit!$O$8*Eingabemaske!$B$18),$C123,"0"))</f>
        <v>0</v>
      </c>
      <c r="CJ123" s="222">
        <v>8614</v>
      </c>
      <c r="CK123" s="224">
        <f t="shared" si="89"/>
        <v>0</v>
      </c>
      <c r="CL123" s="222">
        <v>8614</v>
      </c>
      <c r="CM123" s="226" t="str">
        <f t="shared" si="132"/>
        <v xml:space="preserve"> </v>
      </c>
      <c r="CN123" s="312">
        <v>8614</v>
      </c>
      <c r="CO123" s="286">
        <f>CI123*Wirtschaftlichkeit!$O$5/Wirtschaftlichkeit!$O$7</f>
        <v>0</v>
      </c>
      <c r="CP123" s="284">
        <f t="shared" si="91"/>
        <v>0</v>
      </c>
      <c r="CR123" s="222">
        <v>8614</v>
      </c>
      <c r="CS123" s="225" t="str">
        <f>IF($C123&gt;=Wirtschaftlichkeit!$P$8,Wirtschaftlichkeit!$P$8,IF(AND($C123&lt;=Wirtschaftlichkeit!$P$8,$C123&gt;=Wirtschaftlichkeit!$P$8*Eingabemaske!$B$18),$C123,"0"))</f>
        <v>0</v>
      </c>
      <c r="CT123" s="222">
        <v>8614</v>
      </c>
      <c r="CU123" s="224">
        <f t="shared" si="92"/>
        <v>0</v>
      </c>
      <c r="CV123" s="222">
        <v>8614</v>
      </c>
      <c r="CW123" s="226" t="str">
        <f t="shared" si="133"/>
        <v xml:space="preserve"> </v>
      </c>
      <c r="CX123" s="312">
        <v>8614</v>
      </c>
      <c r="CY123" s="286">
        <f>CS123*Wirtschaftlichkeit!$P$5/Wirtschaftlichkeit!$P$7</f>
        <v>0</v>
      </c>
      <c r="CZ123" s="284">
        <f t="shared" si="94"/>
        <v>0</v>
      </c>
      <c r="DB123" s="222">
        <v>8614</v>
      </c>
      <c r="DC123" s="225" t="str">
        <f>IF($C123&gt;=Wirtschaftlichkeit!$Q$8,Wirtschaftlichkeit!$Q$8,IF(AND($C123&lt;=Wirtschaftlichkeit!$Q$8,$C123&gt;=Wirtschaftlichkeit!$Q$8*Eingabemaske!$B$18),$C123,"0"))</f>
        <v>0</v>
      </c>
      <c r="DD123" s="222">
        <v>8614</v>
      </c>
      <c r="DE123" s="224">
        <f t="shared" si="95"/>
        <v>0</v>
      </c>
      <c r="DF123" s="222">
        <v>8614</v>
      </c>
      <c r="DG123" s="226" t="str">
        <f t="shared" si="134"/>
        <v xml:space="preserve"> </v>
      </c>
      <c r="DH123" s="312">
        <v>8614</v>
      </c>
      <c r="DI123" s="286">
        <f>DC123*Wirtschaftlichkeit!$Q$5/Wirtschaftlichkeit!$Q$7</f>
        <v>0</v>
      </c>
      <c r="DJ123" s="284">
        <f t="shared" si="97"/>
        <v>0</v>
      </c>
      <c r="DL123" s="222">
        <v>8614</v>
      </c>
      <c r="DM123" s="225" t="str">
        <f>IF($C123&gt;=Wirtschaftlichkeit!$R$8,Wirtschaftlichkeit!$R$8,IF(AND($C123&lt;=Wirtschaftlichkeit!$R$8,$C123&gt;=Wirtschaftlichkeit!$R$8*Eingabemaske!$B$18),$C123,"0"))</f>
        <v>0</v>
      </c>
      <c r="DN123" s="222">
        <v>8614</v>
      </c>
      <c r="DO123" s="224">
        <f t="shared" si="98"/>
        <v>0</v>
      </c>
      <c r="DP123" s="222">
        <v>8614</v>
      </c>
      <c r="DQ123" s="226" t="str">
        <f t="shared" si="135"/>
        <v xml:space="preserve"> </v>
      </c>
      <c r="DR123" s="312">
        <v>8614</v>
      </c>
      <c r="DS123" s="286">
        <f>DM123*Wirtschaftlichkeit!$R$5/Wirtschaftlichkeit!$R$7</f>
        <v>0</v>
      </c>
      <c r="DT123" s="284">
        <f t="shared" si="100"/>
        <v>0</v>
      </c>
      <c r="DV123" s="222">
        <v>8614</v>
      </c>
      <c r="DW123" s="225" t="str">
        <f>IF($C123&gt;=Wirtschaftlichkeit!$S$8,Wirtschaftlichkeit!$S$8,IF(AND($C123&lt;=Wirtschaftlichkeit!$S$8,$C123&gt;=Wirtschaftlichkeit!$S$8*Eingabemaske!$B$18),$C123,"0"))</f>
        <v>0</v>
      </c>
      <c r="DX123" s="222">
        <v>8614</v>
      </c>
      <c r="DY123" s="224">
        <f t="shared" si="101"/>
        <v>0</v>
      </c>
      <c r="DZ123" s="222">
        <v>8614</v>
      </c>
      <c r="EA123" s="226" t="str">
        <f t="shared" si="136"/>
        <v xml:space="preserve"> </v>
      </c>
      <c r="EB123" s="312">
        <v>8614</v>
      </c>
      <c r="EC123" s="286">
        <f>DW123*Wirtschaftlichkeit!$S$5/Wirtschaftlichkeit!$S$7</f>
        <v>0</v>
      </c>
      <c r="ED123" s="284">
        <f t="shared" si="103"/>
        <v>0</v>
      </c>
      <c r="EF123" s="222">
        <v>8614</v>
      </c>
      <c r="EG123" s="225" t="str">
        <f>IF($C123&gt;=Wirtschaftlichkeit!$T$8,Wirtschaftlichkeit!$T$8,IF(AND($C123&lt;=Wirtschaftlichkeit!$T$8,$C123&gt;=Wirtschaftlichkeit!$T$8*Eingabemaske!$B$18),$C123,"0"))</f>
        <v>0</v>
      </c>
      <c r="EH123" s="222">
        <v>8614</v>
      </c>
      <c r="EI123" s="224">
        <f t="shared" si="104"/>
        <v>0</v>
      </c>
      <c r="EJ123" s="222">
        <v>8614</v>
      </c>
      <c r="EK123" s="226" t="str">
        <f t="shared" si="137"/>
        <v xml:space="preserve"> </v>
      </c>
      <c r="EL123" s="312">
        <v>8614</v>
      </c>
      <c r="EM123" s="286">
        <f>EG123*Wirtschaftlichkeit!$T$5/Wirtschaftlichkeit!$T$7</f>
        <v>0</v>
      </c>
      <c r="EN123" s="284">
        <f t="shared" si="106"/>
        <v>0</v>
      </c>
      <c r="EP123" s="222">
        <v>8614</v>
      </c>
      <c r="EQ123" s="225" t="str">
        <f>IF($C123&gt;=Wirtschaftlichkeit!$U$8,Wirtschaftlichkeit!$U$8,IF(AND($C123&lt;=Wirtschaftlichkeit!$U$8,$C123&gt;=Wirtschaftlichkeit!$U$8*Eingabemaske!$B$18),$C123,"0"))</f>
        <v>0</v>
      </c>
      <c r="ER123" s="222">
        <v>8614</v>
      </c>
      <c r="ES123" s="224">
        <f t="shared" si="107"/>
        <v>0</v>
      </c>
      <c r="ET123" s="222">
        <v>8614</v>
      </c>
      <c r="EU123" s="226" t="str">
        <f t="shared" si="138"/>
        <v xml:space="preserve"> </v>
      </c>
      <c r="EV123" s="312">
        <v>8614</v>
      </c>
      <c r="EW123" s="286">
        <f>EQ123*Wirtschaftlichkeit!$U$5/Wirtschaftlichkeit!$U$7</f>
        <v>0</v>
      </c>
      <c r="EX123" s="284">
        <f t="shared" si="109"/>
        <v>0</v>
      </c>
      <c r="EZ123" s="222">
        <v>8614</v>
      </c>
      <c r="FA123" s="225" t="str">
        <f>IF($C123&gt;=Wirtschaftlichkeit!$V$8,Wirtschaftlichkeit!$V$8,IF(AND($C123&lt;=Wirtschaftlichkeit!$V$8,$C123&gt;=Wirtschaftlichkeit!$V$8*Eingabemaske!$B$18),$C123,"0"))</f>
        <v>0</v>
      </c>
      <c r="FB123" s="222">
        <v>8614</v>
      </c>
      <c r="FC123" s="224">
        <f t="shared" si="110"/>
        <v>0</v>
      </c>
      <c r="FD123" s="222">
        <v>8614</v>
      </c>
      <c r="FE123" s="226" t="str">
        <f t="shared" si="139"/>
        <v xml:space="preserve"> </v>
      </c>
      <c r="FF123" s="312">
        <v>8614</v>
      </c>
      <c r="FG123" s="286">
        <f>FA123*Wirtschaftlichkeit!$V$5/Wirtschaftlichkeit!$V$7</f>
        <v>0</v>
      </c>
      <c r="FH123" s="284">
        <f t="shared" si="112"/>
        <v>0</v>
      </c>
      <c r="FJ123" s="222">
        <v>8614</v>
      </c>
      <c r="FK123" s="225" t="str">
        <f>IF($C123&gt;=Wirtschaftlichkeit!$W$8,Wirtschaftlichkeit!$W$8,IF(AND($C123&lt;=Wirtschaftlichkeit!$W$8,$C123&gt;=Wirtschaftlichkeit!$W$8*Eingabemaske!$B$18),$C123,"0"))</f>
        <v>0</v>
      </c>
      <c r="FL123" s="222">
        <v>8614</v>
      </c>
      <c r="FM123" s="224">
        <f t="shared" si="113"/>
        <v>0</v>
      </c>
      <c r="FN123" s="222">
        <v>8614</v>
      </c>
      <c r="FO123" s="226" t="str">
        <f t="shared" si="140"/>
        <v xml:space="preserve"> </v>
      </c>
      <c r="FP123" s="312">
        <v>8614</v>
      </c>
      <c r="FQ123" s="286">
        <f>FK123*Wirtschaftlichkeit!$W$5/Wirtschaftlichkeit!$W$7</f>
        <v>0</v>
      </c>
      <c r="FR123" s="284">
        <f t="shared" si="115"/>
        <v>0</v>
      </c>
      <c r="FT123" s="222">
        <v>8614</v>
      </c>
      <c r="FU123" s="225" t="str">
        <f>IF($C123&gt;=Wirtschaftlichkeit!$X$8,Wirtschaftlichkeit!$X$8,IF(AND($C123&lt;=Wirtschaftlichkeit!$X$8,$C123&gt;=Wirtschaftlichkeit!$X$8*Eingabemaske!$B$18),$C123,"0"))</f>
        <v>0</v>
      </c>
      <c r="FV123" s="222">
        <v>8614</v>
      </c>
      <c r="FW123" s="224">
        <f t="shared" si="116"/>
        <v>0</v>
      </c>
      <c r="FX123" s="222">
        <v>8614</v>
      </c>
      <c r="FY123" s="226" t="str">
        <f t="shared" si="141"/>
        <v xml:space="preserve"> </v>
      </c>
      <c r="FZ123" s="312">
        <v>8614</v>
      </c>
      <c r="GA123" s="286">
        <f>FU123*Wirtschaftlichkeit!$X$5/Wirtschaftlichkeit!$X$7</f>
        <v>0</v>
      </c>
      <c r="GB123" s="284">
        <f t="shared" si="118"/>
        <v>0</v>
      </c>
      <c r="GD123" s="222">
        <v>8614</v>
      </c>
      <c r="GE123" s="225" t="str">
        <f>IF($C123&gt;=Wirtschaftlichkeit!$Y$8,Wirtschaftlichkeit!$Y$8,IF(AND($C123&lt;=Wirtschaftlichkeit!$Y$8,$C123&gt;=Wirtschaftlichkeit!$Y$8*Eingabemaske!$B$18),$C123,"0"))</f>
        <v>0</v>
      </c>
      <c r="GF123" s="222">
        <v>8614</v>
      </c>
      <c r="GG123" s="224">
        <f t="shared" si="119"/>
        <v>0</v>
      </c>
      <c r="GH123" s="222">
        <v>8614</v>
      </c>
      <c r="GI123" s="226" t="str">
        <f t="shared" si="142"/>
        <v xml:space="preserve"> </v>
      </c>
      <c r="GJ123" s="312">
        <v>8614</v>
      </c>
      <c r="GK123" s="286">
        <f>GE123*Wirtschaftlichkeit!$Y$5/Wirtschaftlichkeit!$Y$7</f>
        <v>0</v>
      </c>
      <c r="GL123" s="284">
        <f t="shared" si="121"/>
        <v>0</v>
      </c>
      <c r="GN123" s="222">
        <v>8614</v>
      </c>
      <c r="GO123" s="225" t="str">
        <f>IF($C123&gt;=Wirtschaftlichkeit!$Z$8,Wirtschaftlichkeit!$Z$8,IF(AND($C123&lt;=Wirtschaftlichkeit!$Z$8,$C123&gt;=Wirtschaftlichkeit!$Z$8*Eingabemaske!$B$18),$C123,"0"))</f>
        <v>0</v>
      </c>
      <c r="GP123" s="222">
        <v>8614</v>
      </c>
      <c r="GQ123" s="224">
        <f t="shared" si="122"/>
        <v>0</v>
      </c>
      <c r="GR123" s="222">
        <v>8614</v>
      </c>
      <c r="GS123" s="226" t="str">
        <f t="shared" si="143"/>
        <v xml:space="preserve"> </v>
      </c>
      <c r="GT123" s="312">
        <v>8614</v>
      </c>
      <c r="GU123" s="286">
        <f>GO123*Wirtschaftlichkeit!$Z$5/Wirtschaftlichkeit!$Z$7</f>
        <v>0</v>
      </c>
      <c r="GV123" s="284">
        <f t="shared" si="124"/>
        <v>0</v>
      </c>
      <c r="GW123" s="266"/>
      <c r="GX123" s="258">
        <v>8614</v>
      </c>
      <c r="GY123" s="270" t="str">
        <f>IF(Berechnung_Diagramme!$C$28=Berechnungen_Lastgang!$F$2,Berechnungen_Lastgang!G123,IF(Berechnung_Diagramme!$C$28=Berechnungen_Lastgang!$P$2,Berechnungen_Lastgang!Q123,IF(Berechnung_Diagramme!$C$28=Berechnungen_Lastgang!$Z$2,Berechnungen_Lastgang!AA123,IF(Berechnung_Diagramme!$C$28=Berechnungen_Lastgang!$AJ$2,Berechnungen_Lastgang!AK123,IF(Berechnung_Diagramme!$C$28=Berechnungen_Lastgang!$AT$2,Berechnungen_Lastgang!AU123,IF(Berechnung_Diagramme!$C$28=Berechnungen_Lastgang!$BD$2,Berechnungen_Lastgang!BE123,IF(Berechnung_Diagramme!$C$28=Berechnungen_Lastgang!$BN$2,Berechnungen_Lastgang!BO123,IF(Berechnung_Diagramme!$C$28=Berechnungen_Lastgang!$BX$2,Berechnungen_Lastgang!BY123,IF(Berechnung_Diagramme!$C$28=Berechnungen_Lastgang!$CH$2,Berechnungen_Lastgang!CI123,IF(Berechnung_Diagramme!$C$28=Berechnungen_Lastgang!$CR$2,Berechnungen_Lastgang!CS123,IF(Berechnung_Diagramme!$C$28=Berechnungen_Lastgang!$DB$2,Berechnungen_Lastgang!DC123,IF(Berechnung_Diagramme!$C$28=Berechnungen_Lastgang!$DL$2,Berechnungen_Lastgang!DM123,IF(Berechnung_Diagramme!$C$28=Berechnungen_Lastgang!$DV$2,Berechnungen_Lastgang!DW123,IF(Berechnung_Diagramme!$C$28=Berechnungen_Lastgang!$EF$2,Berechnungen_Lastgang!EG123,IF(Berechnung_Diagramme!$C$28=Berechnungen_Lastgang!$EP$2,Berechnungen_Lastgang!EQ123,IF(Berechnung_Diagramme!$C$28=Berechnungen_Lastgang!$EZ$2,Berechnungen_Lastgang!FA123,IF(Berechnung_Diagramme!$C$28=Berechnungen_Lastgang!$FJ$2,Berechnungen_Lastgang!FK123,IF(Berechnung_Diagramme!$C$28=Berechnungen_Lastgang!$FT$2,Berechnungen_Lastgang!FU123,IF(Berechnung_Diagramme!$C$28=Berechnungen_Lastgang!$GD$2,Berechnungen_Lastgang!GE123,IF(Berechnung_Diagramme!$C$28=Berechnungen_Lastgang!$GN$2,Berechnungen_Lastgang!GO123,""))))))))))))))))))))</f>
        <v>0</v>
      </c>
    </row>
    <row r="124" spans="2:207" x14ac:dyDescent="0.25">
      <c r="B124" s="64">
        <v>8687</v>
      </c>
      <c r="C124" s="67">
        <f>C123+((C125-C123)/(B125-B123))*(B124-B123)</f>
        <v>0.20700000000000002</v>
      </c>
      <c r="D124" s="66">
        <f t="shared" si="144"/>
        <v>7.5555000000000003</v>
      </c>
      <c r="F124" s="64">
        <v>8687</v>
      </c>
      <c r="G124" s="225" t="str">
        <f>IF($C124&gt;=Wirtschaftlichkeit!$G$8,Wirtschaftlichkeit!$G$8,IF(AND($C124&lt;=Wirtschaftlichkeit!$G$8,$C124&gt;=Wirtschaftlichkeit!$G$8*Eingabemaske!$B$18),$C124,"0"))</f>
        <v>0</v>
      </c>
      <c r="H124" s="64">
        <v>8687</v>
      </c>
      <c r="I124" s="66">
        <f t="shared" si="145"/>
        <v>0</v>
      </c>
      <c r="J124" s="64">
        <v>8687</v>
      </c>
      <c r="K124" s="71" t="str">
        <f t="shared" si="146"/>
        <v xml:space="preserve"> </v>
      </c>
      <c r="L124" s="312">
        <v>8687</v>
      </c>
      <c r="M124" s="286">
        <f>G124*Wirtschaftlichkeit!$G$5/Wirtschaftlichkeit!$G$7</f>
        <v>0</v>
      </c>
      <c r="N124" s="284">
        <f t="shared" si="67"/>
        <v>0</v>
      </c>
      <c r="P124" s="222">
        <v>8687</v>
      </c>
      <c r="Q124" s="225" t="str">
        <f>IF($C124&gt;=Wirtschaftlichkeit!$H$8,Wirtschaftlichkeit!$H$8,IF(AND($C124&lt;=Wirtschaftlichkeit!$H$8,$C124&gt;=Wirtschaftlichkeit!$H$8*Eingabemaske!$B$18),$C124,"0"))</f>
        <v>0</v>
      </c>
      <c r="R124" s="222">
        <v>8687</v>
      </c>
      <c r="S124" s="224">
        <f t="shared" si="68"/>
        <v>0</v>
      </c>
      <c r="T124" s="222">
        <v>8687</v>
      </c>
      <c r="U124" s="226" t="str">
        <f t="shared" si="125"/>
        <v xml:space="preserve"> </v>
      </c>
      <c r="V124" s="312">
        <v>8687</v>
      </c>
      <c r="W124" s="286">
        <f>Q124*Wirtschaftlichkeit!$H$5/Wirtschaftlichkeit!$H$7</f>
        <v>0</v>
      </c>
      <c r="X124" s="284">
        <f t="shared" si="70"/>
        <v>0</v>
      </c>
      <c r="Z124" s="222">
        <v>8687</v>
      </c>
      <c r="AA124" s="225" t="str">
        <f>IF($C124&gt;=Wirtschaftlichkeit!$I$8,Wirtschaftlichkeit!$I$8,IF(AND($C124&lt;=Wirtschaftlichkeit!$I$8,$C124&gt;=Wirtschaftlichkeit!$I$8*Eingabemaske!$B$18),$C124,"0"))</f>
        <v>0</v>
      </c>
      <c r="AB124" s="222">
        <v>8687</v>
      </c>
      <c r="AC124" s="224">
        <f t="shared" si="71"/>
        <v>0</v>
      </c>
      <c r="AD124" s="222">
        <v>8687</v>
      </c>
      <c r="AE124" s="226" t="str">
        <f t="shared" si="126"/>
        <v xml:space="preserve"> </v>
      </c>
      <c r="AF124" s="312">
        <v>8687</v>
      </c>
      <c r="AG124" s="286">
        <f>AA124*Wirtschaftlichkeit!$I$5/Wirtschaftlichkeit!$I$7</f>
        <v>0</v>
      </c>
      <c r="AH124" s="284">
        <f t="shared" si="73"/>
        <v>0</v>
      </c>
      <c r="AJ124" s="222">
        <v>8687</v>
      </c>
      <c r="AK124" s="225" t="str">
        <f>IF($C124&gt;=Wirtschaftlichkeit!$J$8,Wirtschaftlichkeit!$J$8,IF(AND($C124&lt;=Wirtschaftlichkeit!$J$8,$C124&gt;=Wirtschaftlichkeit!$J$8*Eingabemaske!$B$18),$C124,"0"))</f>
        <v>0</v>
      </c>
      <c r="AL124" s="222">
        <v>8687</v>
      </c>
      <c r="AM124" s="224">
        <f t="shared" si="74"/>
        <v>0</v>
      </c>
      <c r="AN124" s="222">
        <v>8687</v>
      </c>
      <c r="AO124" s="226" t="str">
        <f t="shared" si="127"/>
        <v xml:space="preserve"> </v>
      </c>
      <c r="AP124" s="312">
        <v>8687</v>
      </c>
      <c r="AQ124" s="286">
        <f>AK124*Wirtschaftlichkeit!$J$5/Wirtschaftlichkeit!$J$7</f>
        <v>0</v>
      </c>
      <c r="AR124" s="284">
        <f t="shared" si="76"/>
        <v>0</v>
      </c>
      <c r="AT124" s="222">
        <v>8687</v>
      </c>
      <c r="AU124" s="225" t="str">
        <f>IF($C124&gt;=Wirtschaftlichkeit!$K$8,Wirtschaftlichkeit!$K$8,IF(AND($C124&lt;=Wirtschaftlichkeit!$K$8,$C124&gt;=Wirtschaftlichkeit!$K$8*Eingabemaske!$B$18),$C124,"0"))</f>
        <v>0</v>
      </c>
      <c r="AV124" s="222">
        <v>8687</v>
      </c>
      <c r="AW124" s="224">
        <f t="shared" si="77"/>
        <v>0</v>
      </c>
      <c r="AX124" s="222">
        <v>8687</v>
      </c>
      <c r="AY124" s="226" t="str">
        <f t="shared" si="128"/>
        <v xml:space="preserve"> </v>
      </c>
      <c r="AZ124" s="312">
        <v>8687</v>
      </c>
      <c r="BA124" s="286">
        <f>AU124*Wirtschaftlichkeit!$K$5/Wirtschaftlichkeit!$K$7</f>
        <v>0</v>
      </c>
      <c r="BB124" s="284">
        <f t="shared" si="79"/>
        <v>0</v>
      </c>
      <c r="BD124" s="222">
        <v>8687</v>
      </c>
      <c r="BE124" s="225" t="str">
        <f>IF($C124&gt;=Wirtschaftlichkeit!$L$8,Wirtschaftlichkeit!$L$8,IF(AND($C124&lt;=Wirtschaftlichkeit!$L$8,$C124&gt;=Wirtschaftlichkeit!$L$8*Eingabemaske!$B$18),$C124,"0"))</f>
        <v>0</v>
      </c>
      <c r="BF124" s="222">
        <v>8687</v>
      </c>
      <c r="BG124" s="224">
        <f t="shared" si="80"/>
        <v>0</v>
      </c>
      <c r="BH124" s="222">
        <v>8687</v>
      </c>
      <c r="BI124" s="226" t="str">
        <f t="shared" si="129"/>
        <v xml:space="preserve"> </v>
      </c>
      <c r="BJ124" s="312">
        <v>8687</v>
      </c>
      <c r="BK124" s="286">
        <f>BE124*Wirtschaftlichkeit!$L$5/Wirtschaftlichkeit!$L$7</f>
        <v>0</v>
      </c>
      <c r="BL124" s="284">
        <f t="shared" si="82"/>
        <v>0</v>
      </c>
      <c r="BN124" s="222">
        <v>8687</v>
      </c>
      <c r="BO124" s="225" t="str">
        <f>IF($C124&gt;=Wirtschaftlichkeit!$M$8,Wirtschaftlichkeit!$M$8,IF(AND($C124&lt;=Wirtschaftlichkeit!$M$8,$C124&gt;=Wirtschaftlichkeit!$M$8*Eingabemaske!$B$18),$C124,"0"))</f>
        <v>0</v>
      </c>
      <c r="BP124" s="222">
        <v>8687</v>
      </c>
      <c r="BQ124" s="224">
        <f t="shared" si="83"/>
        <v>0</v>
      </c>
      <c r="BR124" s="222">
        <v>8687</v>
      </c>
      <c r="BS124" s="226" t="str">
        <f t="shared" si="130"/>
        <v xml:space="preserve"> </v>
      </c>
      <c r="BT124" s="312">
        <v>8687</v>
      </c>
      <c r="BU124" s="286">
        <f>BO124*Wirtschaftlichkeit!$M$5/Wirtschaftlichkeit!$M$7</f>
        <v>0</v>
      </c>
      <c r="BV124" s="284">
        <f t="shared" si="85"/>
        <v>0</v>
      </c>
      <c r="BX124" s="222">
        <v>8687</v>
      </c>
      <c r="BY124" s="225" t="str">
        <f>IF($C124&gt;=Wirtschaftlichkeit!$N$8,Wirtschaftlichkeit!$N$8,IF(AND($C124&lt;=Wirtschaftlichkeit!$N$8,$C124&gt;=Wirtschaftlichkeit!$N$8*Eingabemaske!$B$18),$C124,"0"))</f>
        <v>0</v>
      </c>
      <c r="BZ124" s="222">
        <v>8687</v>
      </c>
      <c r="CA124" s="224">
        <f t="shared" si="86"/>
        <v>0</v>
      </c>
      <c r="CB124" s="222">
        <v>8687</v>
      </c>
      <c r="CC124" s="226" t="str">
        <f t="shared" si="131"/>
        <v xml:space="preserve"> </v>
      </c>
      <c r="CD124" s="312">
        <v>8687</v>
      </c>
      <c r="CE124" s="286">
        <f>BY124*Wirtschaftlichkeit!$N$5/Wirtschaftlichkeit!$N$7</f>
        <v>0</v>
      </c>
      <c r="CF124" s="284">
        <f t="shared" si="88"/>
        <v>0</v>
      </c>
      <c r="CH124" s="222">
        <v>8687</v>
      </c>
      <c r="CI124" s="225" t="str">
        <f>IF($C124&gt;=Wirtschaftlichkeit!$O$8,Wirtschaftlichkeit!$O$8,IF(AND($C124&lt;=Wirtschaftlichkeit!$O$8,$C124&gt;=Wirtschaftlichkeit!$O$8*Eingabemaske!$B$18),$C124,"0"))</f>
        <v>0</v>
      </c>
      <c r="CJ124" s="222">
        <v>8687</v>
      </c>
      <c r="CK124" s="224">
        <f t="shared" si="89"/>
        <v>0</v>
      </c>
      <c r="CL124" s="222">
        <v>8687</v>
      </c>
      <c r="CM124" s="226" t="str">
        <f t="shared" si="132"/>
        <v xml:space="preserve"> </v>
      </c>
      <c r="CN124" s="312">
        <v>8687</v>
      </c>
      <c r="CO124" s="286">
        <f>CI124*Wirtschaftlichkeit!$O$5/Wirtschaftlichkeit!$O$7</f>
        <v>0</v>
      </c>
      <c r="CP124" s="284">
        <f t="shared" si="91"/>
        <v>0</v>
      </c>
      <c r="CR124" s="222">
        <v>8687</v>
      </c>
      <c r="CS124" s="225" t="str">
        <f>IF($C124&gt;=Wirtschaftlichkeit!$P$8,Wirtschaftlichkeit!$P$8,IF(AND($C124&lt;=Wirtschaftlichkeit!$P$8,$C124&gt;=Wirtschaftlichkeit!$P$8*Eingabemaske!$B$18),$C124,"0"))</f>
        <v>0</v>
      </c>
      <c r="CT124" s="222">
        <v>8687</v>
      </c>
      <c r="CU124" s="224">
        <f t="shared" si="92"/>
        <v>0</v>
      </c>
      <c r="CV124" s="222">
        <v>8687</v>
      </c>
      <c r="CW124" s="226" t="str">
        <f t="shared" si="133"/>
        <v xml:space="preserve"> </v>
      </c>
      <c r="CX124" s="312">
        <v>8687</v>
      </c>
      <c r="CY124" s="286">
        <f>CS124*Wirtschaftlichkeit!$P$5/Wirtschaftlichkeit!$P$7</f>
        <v>0</v>
      </c>
      <c r="CZ124" s="284">
        <f t="shared" si="94"/>
        <v>0</v>
      </c>
      <c r="DB124" s="222">
        <v>8687</v>
      </c>
      <c r="DC124" s="225" t="str">
        <f>IF($C124&gt;=Wirtschaftlichkeit!$Q$8,Wirtschaftlichkeit!$Q$8,IF(AND($C124&lt;=Wirtschaftlichkeit!$Q$8,$C124&gt;=Wirtschaftlichkeit!$Q$8*Eingabemaske!$B$18),$C124,"0"))</f>
        <v>0</v>
      </c>
      <c r="DD124" s="222">
        <v>8687</v>
      </c>
      <c r="DE124" s="224">
        <f t="shared" si="95"/>
        <v>0</v>
      </c>
      <c r="DF124" s="222">
        <v>8687</v>
      </c>
      <c r="DG124" s="226" t="str">
        <f t="shared" si="134"/>
        <v xml:space="preserve"> </v>
      </c>
      <c r="DH124" s="312">
        <v>8687</v>
      </c>
      <c r="DI124" s="286">
        <f>DC124*Wirtschaftlichkeit!$Q$5/Wirtschaftlichkeit!$Q$7</f>
        <v>0</v>
      </c>
      <c r="DJ124" s="284">
        <f t="shared" si="97"/>
        <v>0</v>
      </c>
      <c r="DL124" s="222">
        <v>8687</v>
      </c>
      <c r="DM124" s="225" t="str">
        <f>IF($C124&gt;=Wirtschaftlichkeit!$R$8,Wirtschaftlichkeit!$R$8,IF(AND($C124&lt;=Wirtschaftlichkeit!$R$8,$C124&gt;=Wirtschaftlichkeit!$R$8*Eingabemaske!$B$18),$C124,"0"))</f>
        <v>0</v>
      </c>
      <c r="DN124" s="222">
        <v>8687</v>
      </c>
      <c r="DO124" s="224">
        <f t="shared" si="98"/>
        <v>0</v>
      </c>
      <c r="DP124" s="222">
        <v>8687</v>
      </c>
      <c r="DQ124" s="226" t="str">
        <f t="shared" si="135"/>
        <v xml:space="preserve"> </v>
      </c>
      <c r="DR124" s="312">
        <v>8687</v>
      </c>
      <c r="DS124" s="286">
        <f>DM124*Wirtschaftlichkeit!$R$5/Wirtschaftlichkeit!$R$7</f>
        <v>0</v>
      </c>
      <c r="DT124" s="284">
        <f t="shared" si="100"/>
        <v>0</v>
      </c>
      <c r="DV124" s="222">
        <v>8687</v>
      </c>
      <c r="DW124" s="225" t="str">
        <f>IF($C124&gt;=Wirtschaftlichkeit!$S$8,Wirtschaftlichkeit!$S$8,IF(AND($C124&lt;=Wirtschaftlichkeit!$S$8,$C124&gt;=Wirtschaftlichkeit!$S$8*Eingabemaske!$B$18),$C124,"0"))</f>
        <v>0</v>
      </c>
      <c r="DX124" s="222">
        <v>8687</v>
      </c>
      <c r="DY124" s="224">
        <f t="shared" si="101"/>
        <v>0</v>
      </c>
      <c r="DZ124" s="222">
        <v>8687</v>
      </c>
      <c r="EA124" s="226" t="str">
        <f t="shared" si="136"/>
        <v xml:space="preserve"> </v>
      </c>
      <c r="EB124" s="312">
        <v>8687</v>
      </c>
      <c r="EC124" s="286">
        <f>DW124*Wirtschaftlichkeit!$S$5/Wirtschaftlichkeit!$S$7</f>
        <v>0</v>
      </c>
      <c r="ED124" s="284">
        <f t="shared" si="103"/>
        <v>0</v>
      </c>
      <c r="EF124" s="222">
        <v>8687</v>
      </c>
      <c r="EG124" s="225" t="str">
        <f>IF($C124&gt;=Wirtschaftlichkeit!$T$8,Wirtschaftlichkeit!$T$8,IF(AND($C124&lt;=Wirtschaftlichkeit!$T$8,$C124&gt;=Wirtschaftlichkeit!$T$8*Eingabemaske!$B$18),$C124,"0"))</f>
        <v>0</v>
      </c>
      <c r="EH124" s="222">
        <v>8687</v>
      </c>
      <c r="EI124" s="224">
        <f t="shared" si="104"/>
        <v>0</v>
      </c>
      <c r="EJ124" s="222">
        <v>8687</v>
      </c>
      <c r="EK124" s="226" t="str">
        <f t="shared" si="137"/>
        <v xml:space="preserve"> </v>
      </c>
      <c r="EL124" s="312">
        <v>8687</v>
      </c>
      <c r="EM124" s="286">
        <f>EG124*Wirtschaftlichkeit!$T$5/Wirtschaftlichkeit!$T$7</f>
        <v>0</v>
      </c>
      <c r="EN124" s="284">
        <f t="shared" si="106"/>
        <v>0</v>
      </c>
      <c r="EP124" s="222">
        <v>8687</v>
      </c>
      <c r="EQ124" s="225" t="str">
        <f>IF($C124&gt;=Wirtschaftlichkeit!$U$8,Wirtschaftlichkeit!$U$8,IF(AND($C124&lt;=Wirtschaftlichkeit!$U$8,$C124&gt;=Wirtschaftlichkeit!$U$8*Eingabemaske!$B$18),$C124,"0"))</f>
        <v>0</v>
      </c>
      <c r="ER124" s="222">
        <v>8687</v>
      </c>
      <c r="ES124" s="224">
        <f t="shared" si="107"/>
        <v>0</v>
      </c>
      <c r="ET124" s="222">
        <v>8687</v>
      </c>
      <c r="EU124" s="226" t="str">
        <f t="shared" si="138"/>
        <v xml:space="preserve"> </v>
      </c>
      <c r="EV124" s="312">
        <v>8687</v>
      </c>
      <c r="EW124" s="286">
        <f>EQ124*Wirtschaftlichkeit!$U$5/Wirtschaftlichkeit!$U$7</f>
        <v>0</v>
      </c>
      <c r="EX124" s="284">
        <f t="shared" si="109"/>
        <v>0</v>
      </c>
      <c r="EZ124" s="222">
        <v>8687</v>
      </c>
      <c r="FA124" s="225" t="str">
        <f>IF($C124&gt;=Wirtschaftlichkeit!$V$8,Wirtschaftlichkeit!$V$8,IF(AND($C124&lt;=Wirtschaftlichkeit!$V$8,$C124&gt;=Wirtschaftlichkeit!$V$8*Eingabemaske!$B$18),$C124,"0"))</f>
        <v>0</v>
      </c>
      <c r="FB124" s="222">
        <v>8687</v>
      </c>
      <c r="FC124" s="224">
        <f t="shared" si="110"/>
        <v>0</v>
      </c>
      <c r="FD124" s="222">
        <v>8687</v>
      </c>
      <c r="FE124" s="226" t="str">
        <f t="shared" si="139"/>
        <v xml:space="preserve"> </v>
      </c>
      <c r="FF124" s="312">
        <v>8687</v>
      </c>
      <c r="FG124" s="286">
        <f>FA124*Wirtschaftlichkeit!$V$5/Wirtschaftlichkeit!$V$7</f>
        <v>0</v>
      </c>
      <c r="FH124" s="284">
        <f t="shared" si="112"/>
        <v>0</v>
      </c>
      <c r="FJ124" s="222">
        <v>8687</v>
      </c>
      <c r="FK124" s="225" t="str">
        <f>IF($C124&gt;=Wirtschaftlichkeit!$W$8,Wirtschaftlichkeit!$W$8,IF(AND($C124&lt;=Wirtschaftlichkeit!$W$8,$C124&gt;=Wirtschaftlichkeit!$W$8*Eingabemaske!$B$18),$C124,"0"))</f>
        <v>0</v>
      </c>
      <c r="FL124" s="222">
        <v>8687</v>
      </c>
      <c r="FM124" s="224">
        <f t="shared" si="113"/>
        <v>0</v>
      </c>
      <c r="FN124" s="222">
        <v>8687</v>
      </c>
      <c r="FO124" s="226" t="str">
        <f t="shared" si="140"/>
        <v xml:space="preserve"> </v>
      </c>
      <c r="FP124" s="312">
        <v>8687</v>
      </c>
      <c r="FQ124" s="286">
        <f>FK124*Wirtschaftlichkeit!$W$5/Wirtschaftlichkeit!$W$7</f>
        <v>0</v>
      </c>
      <c r="FR124" s="284">
        <f t="shared" si="115"/>
        <v>0</v>
      </c>
      <c r="FT124" s="222">
        <v>8687</v>
      </c>
      <c r="FU124" s="225" t="str">
        <f>IF($C124&gt;=Wirtschaftlichkeit!$X$8,Wirtschaftlichkeit!$X$8,IF(AND($C124&lt;=Wirtschaftlichkeit!$X$8,$C124&gt;=Wirtschaftlichkeit!$X$8*Eingabemaske!$B$18),$C124,"0"))</f>
        <v>0</v>
      </c>
      <c r="FV124" s="222">
        <v>8687</v>
      </c>
      <c r="FW124" s="224">
        <f t="shared" si="116"/>
        <v>0</v>
      </c>
      <c r="FX124" s="222">
        <v>8687</v>
      </c>
      <c r="FY124" s="226" t="str">
        <f t="shared" si="141"/>
        <v xml:space="preserve"> </v>
      </c>
      <c r="FZ124" s="312">
        <v>8687</v>
      </c>
      <c r="GA124" s="286">
        <f>FU124*Wirtschaftlichkeit!$X$5/Wirtschaftlichkeit!$X$7</f>
        <v>0</v>
      </c>
      <c r="GB124" s="284">
        <f t="shared" si="118"/>
        <v>0</v>
      </c>
      <c r="GD124" s="222">
        <v>8687</v>
      </c>
      <c r="GE124" s="225" t="str">
        <f>IF($C124&gt;=Wirtschaftlichkeit!$Y$8,Wirtschaftlichkeit!$Y$8,IF(AND($C124&lt;=Wirtschaftlichkeit!$Y$8,$C124&gt;=Wirtschaftlichkeit!$Y$8*Eingabemaske!$B$18),$C124,"0"))</f>
        <v>0</v>
      </c>
      <c r="GF124" s="222">
        <v>8687</v>
      </c>
      <c r="GG124" s="224">
        <f t="shared" si="119"/>
        <v>0</v>
      </c>
      <c r="GH124" s="222">
        <v>8687</v>
      </c>
      <c r="GI124" s="226" t="str">
        <f t="shared" si="142"/>
        <v xml:space="preserve"> </v>
      </c>
      <c r="GJ124" s="312">
        <v>8687</v>
      </c>
      <c r="GK124" s="286">
        <f>GE124*Wirtschaftlichkeit!$Y$5/Wirtschaftlichkeit!$Y$7</f>
        <v>0</v>
      </c>
      <c r="GL124" s="284">
        <f t="shared" si="121"/>
        <v>0</v>
      </c>
      <c r="GN124" s="222">
        <v>8687</v>
      </c>
      <c r="GO124" s="225" t="str">
        <f>IF($C124&gt;=Wirtschaftlichkeit!$Z$8,Wirtschaftlichkeit!$Z$8,IF(AND($C124&lt;=Wirtschaftlichkeit!$Z$8,$C124&gt;=Wirtschaftlichkeit!$Z$8*Eingabemaske!$B$18),$C124,"0"))</f>
        <v>0</v>
      </c>
      <c r="GP124" s="222">
        <v>8687</v>
      </c>
      <c r="GQ124" s="224">
        <f t="shared" si="122"/>
        <v>0</v>
      </c>
      <c r="GR124" s="222">
        <v>8687</v>
      </c>
      <c r="GS124" s="226" t="str">
        <f t="shared" si="143"/>
        <v xml:space="preserve"> </v>
      </c>
      <c r="GT124" s="312">
        <v>8687</v>
      </c>
      <c r="GU124" s="286">
        <f>GO124*Wirtschaftlichkeit!$Z$5/Wirtschaftlichkeit!$Z$7</f>
        <v>0</v>
      </c>
      <c r="GV124" s="284">
        <f t="shared" si="124"/>
        <v>0</v>
      </c>
      <c r="GW124" s="266"/>
      <c r="GX124" s="258">
        <v>8687</v>
      </c>
      <c r="GY124" s="270" t="str">
        <f>IF(Berechnung_Diagramme!$C$28=Berechnungen_Lastgang!$F$2,Berechnungen_Lastgang!G124,IF(Berechnung_Diagramme!$C$28=Berechnungen_Lastgang!$P$2,Berechnungen_Lastgang!Q124,IF(Berechnung_Diagramme!$C$28=Berechnungen_Lastgang!$Z$2,Berechnungen_Lastgang!AA124,IF(Berechnung_Diagramme!$C$28=Berechnungen_Lastgang!$AJ$2,Berechnungen_Lastgang!AK124,IF(Berechnung_Diagramme!$C$28=Berechnungen_Lastgang!$AT$2,Berechnungen_Lastgang!AU124,IF(Berechnung_Diagramme!$C$28=Berechnungen_Lastgang!$BD$2,Berechnungen_Lastgang!BE124,IF(Berechnung_Diagramme!$C$28=Berechnungen_Lastgang!$BN$2,Berechnungen_Lastgang!BO124,IF(Berechnung_Diagramme!$C$28=Berechnungen_Lastgang!$BX$2,Berechnungen_Lastgang!BY124,IF(Berechnung_Diagramme!$C$28=Berechnungen_Lastgang!$CH$2,Berechnungen_Lastgang!CI124,IF(Berechnung_Diagramme!$C$28=Berechnungen_Lastgang!$CR$2,Berechnungen_Lastgang!CS124,IF(Berechnung_Diagramme!$C$28=Berechnungen_Lastgang!$DB$2,Berechnungen_Lastgang!DC124,IF(Berechnung_Diagramme!$C$28=Berechnungen_Lastgang!$DL$2,Berechnungen_Lastgang!DM124,IF(Berechnung_Diagramme!$C$28=Berechnungen_Lastgang!$DV$2,Berechnungen_Lastgang!DW124,IF(Berechnung_Diagramme!$C$28=Berechnungen_Lastgang!$EF$2,Berechnungen_Lastgang!EG124,IF(Berechnung_Diagramme!$C$28=Berechnungen_Lastgang!$EP$2,Berechnungen_Lastgang!EQ124,IF(Berechnung_Diagramme!$C$28=Berechnungen_Lastgang!$EZ$2,Berechnungen_Lastgang!FA124,IF(Berechnung_Diagramme!$C$28=Berechnungen_Lastgang!$FJ$2,Berechnungen_Lastgang!FK124,IF(Berechnung_Diagramme!$C$28=Berechnungen_Lastgang!$FT$2,Berechnungen_Lastgang!FU124,IF(Berechnung_Diagramme!$C$28=Berechnungen_Lastgang!$GD$2,Berechnungen_Lastgang!GE124,IF(Berechnung_Diagramme!$C$28=Berechnungen_Lastgang!$GN$2,Berechnungen_Lastgang!GO124,""))))))))))))))))))))</f>
        <v>0</v>
      </c>
    </row>
    <row r="125" spans="2:207" x14ac:dyDescent="0.25">
      <c r="B125" s="64">
        <v>8760</v>
      </c>
      <c r="C125" s="67">
        <v>0</v>
      </c>
      <c r="D125" s="66">
        <f>73*((C125+C126)/2)</f>
        <v>0</v>
      </c>
      <c r="F125" s="64">
        <v>8760</v>
      </c>
      <c r="G125" s="225" t="str">
        <f>IF($C125&gt;=Wirtschaftlichkeit!$G$8,Wirtschaftlichkeit!$G$8,IF(AND($C125&lt;=Wirtschaftlichkeit!$G$8,$C125&gt;=Wirtschaftlichkeit!$G$8*Eingabemaske!$B$18),$C125,"0"))</f>
        <v>0</v>
      </c>
      <c r="H125" s="64">
        <v>8760</v>
      </c>
      <c r="I125" s="66">
        <f>73*((G125+G126)/2)</f>
        <v>0</v>
      </c>
      <c r="J125" s="64">
        <v>8760</v>
      </c>
      <c r="K125" s="71" t="str">
        <f t="shared" si="146"/>
        <v xml:space="preserve"> </v>
      </c>
      <c r="L125" s="312">
        <v>8760</v>
      </c>
      <c r="M125" s="286">
        <f>G125*Wirtschaftlichkeit!$G$5/Wirtschaftlichkeit!$G$7</f>
        <v>0</v>
      </c>
      <c r="N125" s="284">
        <f t="shared" si="67"/>
        <v>0</v>
      </c>
      <c r="P125" s="222">
        <v>8760</v>
      </c>
      <c r="Q125" s="225" t="str">
        <f>IF($C125&gt;=Wirtschaftlichkeit!$H$8,Wirtschaftlichkeit!$H$8,IF(AND($C125&lt;=Wirtschaftlichkeit!$H$8,$C125&gt;=Wirtschaftlichkeit!$H$8*Eingabemaske!$B$18),$C125,"0"))</f>
        <v>0</v>
      </c>
      <c r="R125" s="222">
        <v>8760</v>
      </c>
      <c r="S125" s="224">
        <f>73*((Q125+Q126)/2)</f>
        <v>0</v>
      </c>
      <c r="T125" s="222">
        <v>8760</v>
      </c>
      <c r="U125" s="226" t="str">
        <f t="shared" si="125"/>
        <v xml:space="preserve"> </v>
      </c>
      <c r="V125" s="312">
        <v>8760</v>
      </c>
      <c r="W125" s="286">
        <f>Q125*Wirtschaftlichkeit!$H$5/Wirtschaftlichkeit!$H$7</f>
        <v>0</v>
      </c>
      <c r="X125" s="284">
        <f t="shared" si="70"/>
        <v>0</v>
      </c>
      <c r="Z125" s="222">
        <v>8760</v>
      </c>
      <c r="AA125" s="225" t="str">
        <f>IF($C125&gt;=Wirtschaftlichkeit!$I$8,Wirtschaftlichkeit!$I$8,IF(AND($C125&lt;=Wirtschaftlichkeit!$I$8,$C125&gt;=Wirtschaftlichkeit!$I$8*Eingabemaske!$B$18),$C125,"0"))</f>
        <v>0</v>
      </c>
      <c r="AB125" s="222">
        <v>8760</v>
      </c>
      <c r="AC125" s="224">
        <f>73*((AA125+AA126)/2)</f>
        <v>0</v>
      </c>
      <c r="AD125" s="222">
        <v>8760</v>
      </c>
      <c r="AE125" s="226" t="str">
        <f t="shared" si="126"/>
        <v xml:space="preserve"> </v>
      </c>
      <c r="AF125" s="312">
        <v>8760</v>
      </c>
      <c r="AG125" s="286">
        <f>AA125*Wirtschaftlichkeit!$I$5/Wirtschaftlichkeit!$I$7</f>
        <v>0</v>
      </c>
      <c r="AH125" s="284">
        <f t="shared" si="73"/>
        <v>0</v>
      </c>
      <c r="AJ125" s="222">
        <v>8760</v>
      </c>
      <c r="AK125" s="225" t="str">
        <f>IF($C125&gt;=Wirtschaftlichkeit!$J$8,Wirtschaftlichkeit!$J$8,IF(AND($C125&lt;=Wirtschaftlichkeit!$J$8,$C125&gt;=Wirtschaftlichkeit!$J$8*Eingabemaske!$B$18),$C125,"0"))</f>
        <v>0</v>
      </c>
      <c r="AL125" s="222">
        <v>8760</v>
      </c>
      <c r="AM125" s="224">
        <f>73*((AK125+AK126)/2)</f>
        <v>0</v>
      </c>
      <c r="AN125" s="222">
        <v>8760</v>
      </c>
      <c r="AO125" s="226" t="str">
        <f t="shared" si="127"/>
        <v xml:space="preserve"> </v>
      </c>
      <c r="AP125" s="312">
        <v>8760</v>
      </c>
      <c r="AQ125" s="286">
        <f>AK125*Wirtschaftlichkeit!$J$5/Wirtschaftlichkeit!$J$7</f>
        <v>0</v>
      </c>
      <c r="AR125" s="284">
        <f t="shared" si="76"/>
        <v>0</v>
      </c>
      <c r="AT125" s="222">
        <v>8760</v>
      </c>
      <c r="AU125" s="225" t="str">
        <f>IF($C125&gt;=Wirtschaftlichkeit!$K$8,Wirtschaftlichkeit!$K$8,IF(AND($C125&lt;=Wirtschaftlichkeit!$K$8,$C125&gt;=Wirtschaftlichkeit!$K$8*Eingabemaske!$B$18),$C125,"0"))</f>
        <v>0</v>
      </c>
      <c r="AV125" s="222">
        <v>8760</v>
      </c>
      <c r="AW125" s="224">
        <f>73*((AU125+AU126)/2)</f>
        <v>0</v>
      </c>
      <c r="AX125" s="222">
        <v>8760</v>
      </c>
      <c r="AY125" s="226" t="str">
        <f t="shared" si="128"/>
        <v xml:space="preserve"> </v>
      </c>
      <c r="AZ125" s="312">
        <v>8760</v>
      </c>
      <c r="BA125" s="286">
        <f>AU125*Wirtschaftlichkeit!$K$5/Wirtschaftlichkeit!$K$7</f>
        <v>0</v>
      </c>
      <c r="BB125" s="284">
        <f t="shared" si="79"/>
        <v>0</v>
      </c>
      <c r="BD125" s="222">
        <v>8760</v>
      </c>
      <c r="BE125" s="225" t="str">
        <f>IF($C125&gt;=Wirtschaftlichkeit!$L$8,Wirtschaftlichkeit!$L$8,IF(AND($C125&lt;=Wirtschaftlichkeit!$L$8,$C125&gt;=Wirtschaftlichkeit!$L$8*Eingabemaske!$B$18),$C125,"0"))</f>
        <v>0</v>
      </c>
      <c r="BF125" s="222">
        <v>8760</v>
      </c>
      <c r="BG125" s="224">
        <f>73*((BE125+BE126)/2)</f>
        <v>0</v>
      </c>
      <c r="BH125" s="222">
        <v>8760</v>
      </c>
      <c r="BI125" s="226" t="str">
        <f t="shared" si="129"/>
        <v xml:space="preserve"> </v>
      </c>
      <c r="BJ125" s="312">
        <v>8760</v>
      </c>
      <c r="BK125" s="286">
        <f>BE125*Wirtschaftlichkeit!$L$5/Wirtschaftlichkeit!$L$7</f>
        <v>0</v>
      </c>
      <c r="BL125" s="284">
        <f t="shared" si="82"/>
        <v>0</v>
      </c>
      <c r="BN125" s="222">
        <v>8760</v>
      </c>
      <c r="BO125" s="225" t="str">
        <f>IF($C125&gt;=Wirtschaftlichkeit!$M$8,Wirtschaftlichkeit!$M$8,IF(AND($C125&lt;=Wirtschaftlichkeit!$M$8,$C125&gt;=Wirtschaftlichkeit!$M$8*Eingabemaske!$B$18),$C125,"0"))</f>
        <v>0</v>
      </c>
      <c r="BP125" s="222">
        <v>8760</v>
      </c>
      <c r="BQ125" s="224">
        <f>73*((BO125+BO126)/2)</f>
        <v>0</v>
      </c>
      <c r="BR125" s="222">
        <v>8760</v>
      </c>
      <c r="BS125" s="226" t="str">
        <f t="shared" si="130"/>
        <v xml:space="preserve"> </v>
      </c>
      <c r="BT125" s="312">
        <v>8760</v>
      </c>
      <c r="BU125" s="286">
        <f>BO125*Wirtschaftlichkeit!$M$5/Wirtschaftlichkeit!$M$7</f>
        <v>0</v>
      </c>
      <c r="BV125" s="284">
        <f t="shared" si="85"/>
        <v>0</v>
      </c>
      <c r="BX125" s="222">
        <v>8760</v>
      </c>
      <c r="BY125" s="225" t="str">
        <f>IF($C125&gt;=Wirtschaftlichkeit!$N$8,Wirtschaftlichkeit!$N$8,IF(AND($C125&lt;=Wirtschaftlichkeit!$N$8,$C125&gt;=Wirtschaftlichkeit!$N$8*Eingabemaske!$B$18),$C125,"0"))</f>
        <v>0</v>
      </c>
      <c r="BZ125" s="222">
        <v>8760</v>
      </c>
      <c r="CA125" s="224">
        <f>73*((BY125+BY126)/2)</f>
        <v>0</v>
      </c>
      <c r="CB125" s="222">
        <v>8760</v>
      </c>
      <c r="CC125" s="226" t="str">
        <f t="shared" si="131"/>
        <v xml:space="preserve"> </v>
      </c>
      <c r="CD125" s="312">
        <v>8760</v>
      </c>
      <c r="CE125" s="286">
        <f>BY125*Wirtschaftlichkeit!$N$5/Wirtschaftlichkeit!$N$7</f>
        <v>0</v>
      </c>
      <c r="CF125" s="284">
        <f t="shared" si="88"/>
        <v>0</v>
      </c>
      <c r="CH125" s="222">
        <v>8760</v>
      </c>
      <c r="CI125" s="225" t="str">
        <f>IF($C125&gt;=Wirtschaftlichkeit!$O$8,Wirtschaftlichkeit!$O$8,IF(AND($C125&lt;=Wirtschaftlichkeit!$O$8,$C125&gt;=Wirtschaftlichkeit!$O$8*Eingabemaske!$B$18),$C125,"0"))</f>
        <v>0</v>
      </c>
      <c r="CJ125" s="222">
        <v>8760</v>
      </c>
      <c r="CK125" s="224">
        <f>73*((CI125+CI126)/2)</f>
        <v>0</v>
      </c>
      <c r="CL125" s="222">
        <v>8760</v>
      </c>
      <c r="CM125" s="226" t="str">
        <f t="shared" si="132"/>
        <v xml:space="preserve"> </v>
      </c>
      <c r="CN125" s="312">
        <v>8760</v>
      </c>
      <c r="CO125" s="286">
        <f>CI125*Wirtschaftlichkeit!$O$5/Wirtschaftlichkeit!$O$7</f>
        <v>0</v>
      </c>
      <c r="CP125" s="284">
        <f t="shared" si="91"/>
        <v>0</v>
      </c>
      <c r="CR125" s="222">
        <v>8760</v>
      </c>
      <c r="CS125" s="225" t="str">
        <f>IF($C125&gt;=Wirtschaftlichkeit!$P$8,Wirtschaftlichkeit!$P$8,IF(AND($C125&lt;=Wirtschaftlichkeit!$P$8,$C125&gt;=Wirtschaftlichkeit!$P$8*Eingabemaske!$B$18),$C125,"0"))</f>
        <v>0</v>
      </c>
      <c r="CT125" s="222">
        <v>8760</v>
      </c>
      <c r="CU125" s="224">
        <f>73*((CS125+CS126)/2)</f>
        <v>0</v>
      </c>
      <c r="CV125" s="222">
        <v>8760</v>
      </c>
      <c r="CW125" s="226" t="str">
        <f t="shared" si="133"/>
        <v xml:space="preserve"> </v>
      </c>
      <c r="CX125" s="312">
        <v>8760</v>
      </c>
      <c r="CY125" s="286">
        <f>CS125*Wirtschaftlichkeit!$P$5/Wirtschaftlichkeit!$P$7</f>
        <v>0</v>
      </c>
      <c r="CZ125" s="284">
        <f t="shared" si="94"/>
        <v>0</v>
      </c>
      <c r="DB125" s="222">
        <v>8760</v>
      </c>
      <c r="DC125" s="225" t="str">
        <f>IF($C125&gt;=Wirtschaftlichkeit!$Q$8,Wirtschaftlichkeit!$Q$8,IF(AND($C125&lt;=Wirtschaftlichkeit!$Q$8,$C125&gt;=Wirtschaftlichkeit!$Q$8*Eingabemaske!$B$18),$C125,"0"))</f>
        <v>0</v>
      </c>
      <c r="DD125" s="222">
        <v>8760</v>
      </c>
      <c r="DE125" s="224">
        <f>73*((DC125+DC126)/2)</f>
        <v>0</v>
      </c>
      <c r="DF125" s="222">
        <v>8760</v>
      </c>
      <c r="DG125" s="226" t="str">
        <f t="shared" si="134"/>
        <v xml:space="preserve"> </v>
      </c>
      <c r="DH125" s="312">
        <v>8760</v>
      </c>
      <c r="DI125" s="286">
        <f>DC125*Wirtschaftlichkeit!$Q$5/Wirtschaftlichkeit!$Q$7</f>
        <v>0</v>
      </c>
      <c r="DJ125" s="284">
        <f t="shared" si="97"/>
        <v>0</v>
      </c>
      <c r="DL125" s="222">
        <v>8760</v>
      </c>
      <c r="DM125" s="225" t="str">
        <f>IF($C125&gt;=Wirtschaftlichkeit!$R$8,Wirtschaftlichkeit!$R$8,IF(AND($C125&lt;=Wirtschaftlichkeit!$R$8,$C125&gt;=Wirtschaftlichkeit!$R$8*Eingabemaske!$B$18),$C125,"0"))</f>
        <v>0</v>
      </c>
      <c r="DN125" s="222">
        <v>8760</v>
      </c>
      <c r="DO125" s="224">
        <f>73*((DM125+DM126)/2)</f>
        <v>0</v>
      </c>
      <c r="DP125" s="222">
        <v>8760</v>
      </c>
      <c r="DQ125" s="226" t="str">
        <f t="shared" si="135"/>
        <v xml:space="preserve"> </v>
      </c>
      <c r="DR125" s="312">
        <v>8760</v>
      </c>
      <c r="DS125" s="286">
        <f>DM125*Wirtschaftlichkeit!$R$5/Wirtschaftlichkeit!$R$7</f>
        <v>0</v>
      </c>
      <c r="DT125" s="284">
        <f t="shared" si="100"/>
        <v>0</v>
      </c>
      <c r="DV125" s="222">
        <v>8760</v>
      </c>
      <c r="DW125" s="225" t="str">
        <f>IF($C125&gt;=Wirtschaftlichkeit!$S$8,Wirtschaftlichkeit!$S$8,IF(AND($C125&lt;=Wirtschaftlichkeit!$S$8,$C125&gt;=Wirtschaftlichkeit!$S$8*Eingabemaske!$B$18),$C125,"0"))</f>
        <v>0</v>
      </c>
      <c r="DX125" s="222">
        <v>8760</v>
      </c>
      <c r="DY125" s="224">
        <f>73*((DW125+DW126)/2)</f>
        <v>0</v>
      </c>
      <c r="DZ125" s="222">
        <v>8760</v>
      </c>
      <c r="EA125" s="226" t="str">
        <f t="shared" si="136"/>
        <v xml:space="preserve"> </v>
      </c>
      <c r="EB125" s="312">
        <v>8760</v>
      </c>
      <c r="EC125" s="286">
        <f>DW125*Wirtschaftlichkeit!$S$5/Wirtschaftlichkeit!$S$7</f>
        <v>0</v>
      </c>
      <c r="ED125" s="284">
        <f t="shared" si="103"/>
        <v>0</v>
      </c>
      <c r="EF125" s="222">
        <v>8760</v>
      </c>
      <c r="EG125" s="225" t="str">
        <f>IF($C125&gt;=Wirtschaftlichkeit!$T$8,Wirtschaftlichkeit!$T$8,IF(AND($C125&lt;=Wirtschaftlichkeit!$T$8,$C125&gt;=Wirtschaftlichkeit!$T$8*Eingabemaske!$B$18),$C125,"0"))</f>
        <v>0</v>
      </c>
      <c r="EH125" s="222">
        <v>8760</v>
      </c>
      <c r="EI125" s="224">
        <f>73*((EG125+EG126)/2)</f>
        <v>0</v>
      </c>
      <c r="EJ125" s="222">
        <v>8760</v>
      </c>
      <c r="EK125" s="226" t="str">
        <f t="shared" si="137"/>
        <v xml:space="preserve"> </v>
      </c>
      <c r="EL125" s="312">
        <v>8760</v>
      </c>
      <c r="EM125" s="286">
        <f>EG125*Wirtschaftlichkeit!$T$5/Wirtschaftlichkeit!$T$7</f>
        <v>0</v>
      </c>
      <c r="EN125" s="284">
        <f t="shared" si="106"/>
        <v>0</v>
      </c>
      <c r="EP125" s="222">
        <v>8760</v>
      </c>
      <c r="EQ125" s="225" t="str">
        <f>IF($C125&gt;=Wirtschaftlichkeit!$U$8,Wirtschaftlichkeit!$U$8,IF(AND($C125&lt;=Wirtschaftlichkeit!$U$8,$C125&gt;=Wirtschaftlichkeit!$U$8*Eingabemaske!$B$18),$C125,"0"))</f>
        <v>0</v>
      </c>
      <c r="ER125" s="222">
        <v>8760</v>
      </c>
      <c r="ES125" s="224">
        <f>73*((EQ125+EQ126)/2)</f>
        <v>0</v>
      </c>
      <c r="ET125" s="222">
        <v>8760</v>
      </c>
      <c r="EU125" s="226" t="str">
        <f t="shared" si="138"/>
        <v xml:space="preserve"> </v>
      </c>
      <c r="EV125" s="312">
        <v>8760</v>
      </c>
      <c r="EW125" s="286">
        <f>EQ125*Wirtschaftlichkeit!$U$5/Wirtschaftlichkeit!$U$7</f>
        <v>0</v>
      </c>
      <c r="EX125" s="284">
        <f t="shared" si="109"/>
        <v>0</v>
      </c>
      <c r="EZ125" s="222">
        <v>8760</v>
      </c>
      <c r="FA125" s="225" t="str">
        <f>IF($C125&gt;=Wirtschaftlichkeit!$V$8,Wirtschaftlichkeit!$V$8,IF(AND($C125&lt;=Wirtschaftlichkeit!$V$8,$C125&gt;=Wirtschaftlichkeit!$V$8*Eingabemaske!$B$18),$C125,"0"))</f>
        <v>0</v>
      </c>
      <c r="FB125" s="222">
        <v>8760</v>
      </c>
      <c r="FC125" s="224">
        <f>73*((FA125+FA126)/2)</f>
        <v>0</v>
      </c>
      <c r="FD125" s="222">
        <v>8760</v>
      </c>
      <c r="FE125" s="226" t="str">
        <f t="shared" si="139"/>
        <v xml:space="preserve"> </v>
      </c>
      <c r="FF125" s="312">
        <v>8760</v>
      </c>
      <c r="FG125" s="286">
        <f>FA125*Wirtschaftlichkeit!$V$5/Wirtschaftlichkeit!$V$7</f>
        <v>0</v>
      </c>
      <c r="FH125" s="284">
        <f t="shared" si="112"/>
        <v>0</v>
      </c>
      <c r="FJ125" s="222">
        <v>8760</v>
      </c>
      <c r="FK125" s="225" t="str">
        <f>IF($C125&gt;=Wirtschaftlichkeit!$W$8,Wirtschaftlichkeit!$W$8,IF(AND($C125&lt;=Wirtschaftlichkeit!$W$8,$C125&gt;=Wirtschaftlichkeit!$W$8*Eingabemaske!$B$18),$C125,"0"))</f>
        <v>0</v>
      </c>
      <c r="FL125" s="222">
        <v>8760</v>
      </c>
      <c r="FM125" s="224">
        <f>73*((FK125+FK126)/2)</f>
        <v>0</v>
      </c>
      <c r="FN125" s="222">
        <v>8760</v>
      </c>
      <c r="FO125" s="226" t="str">
        <f t="shared" si="140"/>
        <v xml:space="preserve"> </v>
      </c>
      <c r="FP125" s="312">
        <v>8760</v>
      </c>
      <c r="FQ125" s="286">
        <f>FK125*Wirtschaftlichkeit!$W$5/Wirtschaftlichkeit!$W$7</f>
        <v>0</v>
      </c>
      <c r="FR125" s="284">
        <f t="shared" si="115"/>
        <v>0</v>
      </c>
      <c r="FT125" s="222">
        <v>8760</v>
      </c>
      <c r="FU125" s="225" t="str">
        <f>IF($C125&gt;=Wirtschaftlichkeit!$X$8,Wirtschaftlichkeit!$X$8,IF(AND($C125&lt;=Wirtschaftlichkeit!$X$8,$C125&gt;=Wirtschaftlichkeit!$X$8*Eingabemaske!$B$18),$C125,"0"))</f>
        <v>0</v>
      </c>
      <c r="FV125" s="222">
        <v>8760</v>
      </c>
      <c r="FW125" s="224">
        <f>73*((FU125+FU126)/2)</f>
        <v>0</v>
      </c>
      <c r="FX125" s="222">
        <v>8760</v>
      </c>
      <c r="FY125" s="226" t="str">
        <f t="shared" si="141"/>
        <v xml:space="preserve"> </v>
      </c>
      <c r="FZ125" s="312">
        <v>8760</v>
      </c>
      <c r="GA125" s="286">
        <f>FU125*Wirtschaftlichkeit!$X$5/Wirtschaftlichkeit!$X$7</f>
        <v>0</v>
      </c>
      <c r="GB125" s="284">
        <f t="shared" si="118"/>
        <v>0</v>
      </c>
      <c r="GD125" s="222">
        <v>8760</v>
      </c>
      <c r="GE125" s="225" t="str">
        <f>IF($C125&gt;=Wirtschaftlichkeit!$Y$8,Wirtschaftlichkeit!$Y$8,IF(AND($C125&lt;=Wirtschaftlichkeit!$Y$8,$C125&gt;=Wirtschaftlichkeit!$Y$8*Eingabemaske!$B$18),$C125,"0"))</f>
        <v>0</v>
      </c>
      <c r="GF125" s="222">
        <v>8760</v>
      </c>
      <c r="GG125" s="224">
        <f>73*((GE125+GE126)/2)</f>
        <v>0</v>
      </c>
      <c r="GH125" s="222">
        <v>8760</v>
      </c>
      <c r="GI125" s="226" t="str">
        <f t="shared" si="142"/>
        <v xml:space="preserve"> </v>
      </c>
      <c r="GJ125" s="312">
        <v>8760</v>
      </c>
      <c r="GK125" s="286">
        <f>GE125*Wirtschaftlichkeit!$Y$5/Wirtschaftlichkeit!$Y$7</f>
        <v>0</v>
      </c>
      <c r="GL125" s="284">
        <f t="shared" si="121"/>
        <v>0</v>
      </c>
      <c r="GN125" s="222">
        <v>8760</v>
      </c>
      <c r="GO125" s="225" t="str">
        <f>IF($C125&gt;=Wirtschaftlichkeit!$Z$8,Wirtschaftlichkeit!$Z$8,IF(AND($C125&lt;=Wirtschaftlichkeit!$Z$8,$C125&gt;=Wirtschaftlichkeit!$Z$8*Eingabemaske!$B$18),$C125,"0"))</f>
        <v>0</v>
      </c>
      <c r="GP125" s="222">
        <v>8760</v>
      </c>
      <c r="GQ125" s="224">
        <f>73*((GO125+GO126)/2)</f>
        <v>0</v>
      </c>
      <c r="GR125" s="222">
        <v>8760</v>
      </c>
      <c r="GS125" s="226" t="str">
        <f t="shared" si="143"/>
        <v xml:space="preserve"> </v>
      </c>
      <c r="GT125" s="312">
        <v>8760</v>
      </c>
      <c r="GU125" s="286">
        <f>GO125*Wirtschaftlichkeit!$Z$5/Wirtschaftlichkeit!$Z$7</f>
        <v>0</v>
      </c>
      <c r="GV125" s="284">
        <f t="shared" si="124"/>
        <v>0</v>
      </c>
      <c r="GW125" s="266"/>
      <c r="GX125" s="258">
        <v>8760</v>
      </c>
      <c r="GY125" s="270" t="str">
        <f>IF(Berechnung_Diagramme!$C$28=Berechnungen_Lastgang!$F$2,Berechnungen_Lastgang!G125,IF(Berechnung_Diagramme!$C$28=Berechnungen_Lastgang!$P$2,Berechnungen_Lastgang!Q125,IF(Berechnung_Diagramme!$C$28=Berechnungen_Lastgang!$Z$2,Berechnungen_Lastgang!AA125,IF(Berechnung_Diagramme!$C$28=Berechnungen_Lastgang!$AJ$2,Berechnungen_Lastgang!AK125,IF(Berechnung_Diagramme!$C$28=Berechnungen_Lastgang!$AT$2,Berechnungen_Lastgang!AU125,IF(Berechnung_Diagramme!$C$28=Berechnungen_Lastgang!$BD$2,Berechnungen_Lastgang!BE125,IF(Berechnung_Diagramme!$C$28=Berechnungen_Lastgang!$BN$2,Berechnungen_Lastgang!BO125,IF(Berechnung_Diagramme!$C$28=Berechnungen_Lastgang!$BX$2,Berechnungen_Lastgang!BY125,IF(Berechnung_Diagramme!$C$28=Berechnungen_Lastgang!$CH$2,Berechnungen_Lastgang!CI125,IF(Berechnung_Diagramme!$C$28=Berechnungen_Lastgang!$CR$2,Berechnungen_Lastgang!CS125,IF(Berechnung_Diagramme!$C$28=Berechnungen_Lastgang!$DB$2,Berechnungen_Lastgang!DC125,IF(Berechnung_Diagramme!$C$28=Berechnungen_Lastgang!$DL$2,Berechnungen_Lastgang!DM125,IF(Berechnung_Diagramme!$C$28=Berechnungen_Lastgang!$DV$2,Berechnungen_Lastgang!DW125,IF(Berechnung_Diagramme!$C$28=Berechnungen_Lastgang!$EF$2,Berechnungen_Lastgang!EG125,IF(Berechnung_Diagramme!$C$28=Berechnungen_Lastgang!$EP$2,Berechnungen_Lastgang!EQ125,IF(Berechnung_Diagramme!$C$28=Berechnungen_Lastgang!$EZ$2,Berechnungen_Lastgang!FA125,IF(Berechnung_Diagramme!$C$28=Berechnungen_Lastgang!$FJ$2,Berechnungen_Lastgang!FK125,IF(Berechnung_Diagramme!$C$28=Berechnungen_Lastgang!$FT$2,Berechnungen_Lastgang!FU125,IF(Berechnung_Diagramme!$C$28=Berechnungen_Lastgang!$GD$2,Berechnungen_Lastgang!GE125,IF(Berechnung_Diagramme!$C$28=Berechnungen_Lastgang!$GN$2,Berechnungen_Lastgang!GO125,""))))))))))))))))))))</f>
        <v>0</v>
      </c>
    </row>
    <row r="126" spans="2:207" x14ac:dyDescent="0.25">
      <c r="C126">
        <v>0</v>
      </c>
      <c r="D126" s="65">
        <f>SUM(D5:D125)</f>
        <v>98992.160999999978</v>
      </c>
      <c r="G126" s="235">
        <v>0</v>
      </c>
      <c r="I126" s="65">
        <f>SUM(I5:I125)</f>
        <v>22825.145303333331</v>
      </c>
      <c r="M126" s="285">
        <v>0</v>
      </c>
      <c r="N126" s="284">
        <f>SUM(N5:N125)</f>
        <v>8055.9336364705878</v>
      </c>
      <c r="P126" s="208"/>
      <c r="Q126" s="208">
        <v>0</v>
      </c>
      <c r="R126" s="208"/>
      <c r="S126" s="223">
        <f>SUM(S5:S125)</f>
        <v>38596.067189793815</v>
      </c>
      <c r="T126" s="208"/>
      <c r="U126" s="208"/>
      <c r="W126" s="285">
        <v>0</v>
      </c>
      <c r="X126" s="284">
        <f>SUM(X5:X125)</f>
        <v>13814.828477527677</v>
      </c>
      <c r="Z126" s="208"/>
      <c r="AA126" s="208">
        <v>0</v>
      </c>
      <c r="AB126" s="208"/>
      <c r="AC126" s="223">
        <f>SUM(AC5:AC125)</f>
        <v>51324.724337013802</v>
      </c>
      <c r="AD126" s="208"/>
      <c r="AE126" s="208"/>
      <c r="AG126" s="285">
        <v>0</v>
      </c>
      <c r="AH126" s="284">
        <f>SUM(AH5:AH125)</f>
        <v>18669.953347665043</v>
      </c>
      <c r="AJ126" s="208"/>
      <c r="AK126" s="208">
        <v>0</v>
      </c>
      <c r="AL126" s="208"/>
      <c r="AM126" s="223">
        <f>SUM(AM5:AM125)</f>
        <v>60905.472251031431</v>
      </c>
      <c r="AN126" s="208"/>
      <c r="AO126" s="208"/>
      <c r="AQ126" s="285">
        <v>0</v>
      </c>
      <c r="AR126" s="284">
        <f>SUM(AR5:AR125)</f>
        <v>23119.612993581606</v>
      </c>
      <c r="AT126" s="208"/>
      <c r="AU126" s="208">
        <v>0</v>
      </c>
      <c r="AV126" s="208"/>
      <c r="AW126" s="223">
        <f>SUM(AW5:AW125)</f>
        <v>68811.869921424455</v>
      </c>
      <c r="AX126" s="208"/>
      <c r="AY126" s="208"/>
      <c r="BA126" s="285">
        <v>0</v>
      </c>
      <c r="BB126" s="284">
        <f>SUM(BB5:BB125)</f>
        <v>27008.089341099942</v>
      </c>
      <c r="BE126" s="208">
        <v>0</v>
      </c>
      <c r="BF126" s="208"/>
      <c r="BG126" s="223">
        <f>SUM(BG5:BG125)</f>
        <v>70901.678170584739</v>
      </c>
      <c r="BK126" s="285">
        <v>0</v>
      </c>
      <c r="BL126" s="284">
        <f>SUM(BL5:BL125)</f>
        <v>28604.97509636519</v>
      </c>
      <c r="BN126" s="208"/>
      <c r="BO126" s="208">
        <v>0</v>
      </c>
      <c r="BP126" s="208"/>
      <c r="BQ126" s="223">
        <f>SUM(BQ5:BQ125)</f>
        <v>74407.431475504534</v>
      </c>
      <c r="BR126" s="208"/>
      <c r="BS126" s="208"/>
      <c r="BU126" s="285">
        <v>0</v>
      </c>
      <c r="BV126" s="284">
        <f>SUM(BV5:BV125)</f>
        <v>30731.450795457953</v>
      </c>
      <c r="BX126" s="208"/>
      <c r="BY126" s="208">
        <v>0</v>
      </c>
      <c r="BZ126" s="208"/>
      <c r="CA126" s="223">
        <f>SUM(CA5:CA125)</f>
        <v>77566.728021811738</v>
      </c>
      <c r="CB126" s="208"/>
      <c r="CC126" s="208"/>
      <c r="CE126" s="285">
        <v>0</v>
      </c>
      <c r="CF126" s="284">
        <f>SUM(CF5:CF125)</f>
        <v>32697.813653471945</v>
      </c>
      <c r="CH126" s="208"/>
      <c r="CI126" s="208">
        <v>0</v>
      </c>
      <c r="CJ126" s="208"/>
      <c r="CK126" s="223">
        <f>SUM(CK5:CK125)</f>
        <v>79492.275202714955</v>
      </c>
      <c r="CL126" s="208"/>
      <c r="CM126" s="208"/>
      <c r="CO126" s="285">
        <v>0</v>
      </c>
      <c r="CP126" s="284">
        <f>SUM(CP5:CP125)</f>
        <v>34122.643887974089</v>
      </c>
      <c r="CR126" s="208"/>
      <c r="CS126" s="208">
        <v>0</v>
      </c>
      <c r="CT126" s="208"/>
      <c r="CU126" s="223">
        <f>SUM(CU5:CU125)</f>
        <v>78046.048349999968</v>
      </c>
      <c r="CV126" s="208"/>
      <c r="CW126" s="208"/>
      <c r="CY126" s="285">
        <v>0</v>
      </c>
      <c r="CZ126" s="284">
        <f>SUM(CZ5:CZ125)</f>
        <v>34052.511963661455</v>
      </c>
      <c r="DB126" s="208"/>
      <c r="DC126" s="208">
        <v>0</v>
      </c>
      <c r="DD126" s="208"/>
      <c r="DE126" s="223">
        <f>SUM(DE5:DE125)</f>
        <v>71978.67962999997</v>
      </c>
      <c r="DF126" s="208"/>
      <c r="DG126" s="208"/>
      <c r="DI126" s="285">
        <v>0</v>
      </c>
      <c r="DJ126" s="284">
        <f>SUM(DJ5:DJ125)</f>
        <v>32956.834130351264</v>
      </c>
      <c r="DL126" s="208"/>
      <c r="DM126" s="208">
        <v>0</v>
      </c>
      <c r="DN126" s="208"/>
      <c r="DO126" s="223">
        <f>SUM(DO5:DO125)</f>
        <v>67514.436899999957</v>
      </c>
      <c r="DP126" s="208"/>
      <c r="DQ126" s="208"/>
      <c r="DS126" s="285">
        <v>0</v>
      </c>
      <c r="DT126" s="284">
        <f>SUM(DT5:DT125)</f>
        <v>31320.98304734836</v>
      </c>
      <c r="DV126" s="208"/>
      <c r="DW126" s="208">
        <v>0</v>
      </c>
      <c r="DX126" s="208"/>
      <c r="DY126" s="223">
        <f>SUM(DY5:DY125)</f>
        <v>65564.362349999967</v>
      </c>
      <c r="DZ126" s="208"/>
      <c r="EA126" s="208"/>
      <c r="EC126" s="285">
        <v>0</v>
      </c>
      <c r="ED126" s="284">
        <f>SUM(ED5:ED125)</f>
        <v>30787.073958467412</v>
      </c>
      <c r="EF126" s="208"/>
      <c r="EG126" s="208">
        <v>0</v>
      </c>
      <c r="EH126" s="208"/>
      <c r="EI126" s="223">
        <f>SUM(EI5:EI125)</f>
        <v>63478.288799999958</v>
      </c>
      <c r="EJ126" s="208"/>
      <c r="EK126" s="208"/>
      <c r="EM126" s="285">
        <v>0</v>
      </c>
      <c r="EN126" s="284">
        <f>SUM(EN5:EN125)</f>
        <v>30145.029279746679</v>
      </c>
      <c r="EP126" s="208"/>
      <c r="EQ126" s="208">
        <v>0</v>
      </c>
      <c r="ER126" s="208"/>
      <c r="ES126" s="223">
        <f>SUM(ES5:ES125)</f>
        <v>61256.216249999961</v>
      </c>
      <c r="ET126" s="208"/>
      <c r="EU126" s="208"/>
      <c r="EW126" s="285">
        <v>0</v>
      </c>
      <c r="EX126" s="284">
        <f>SUM(EX5:EX125)</f>
        <v>29397.409750594743</v>
      </c>
      <c r="EZ126" s="208"/>
      <c r="FA126" s="208">
        <v>0</v>
      </c>
      <c r="FB126" s="208"/>
      <c r="FC126" s="223">
        <f>SUM(FC5:FC125)</f>
        <v>58898.144699999961</v>
      </c>
      <c r="FD126" s="208"/>
      <c r="FE126" s="208"/>
      <c r="FG126" s="285">
        <v>0</v>
      </c>
      <c r="FH126" s="284">
        <f>SUM(FH5:FH125)</f>
        <v>28546.187654941066</v>
      </c>
      <c r="FJ126" s="208"/>
      <c r="FK126" s="208">
        <v>0</v>
      </c>
      <c r="FL126" s="208"/>
      <c r="FM126" s="223">
        <f>SUM(FM5:FM125)</f>
        <v>50164.137809999986</v>
      </c>
      <c r="FN126" s="208"/>
      <c r="FO126" s="208"/>
      <c r="FQ126" s="285">
        <v>0</v>
      </c>
      <c r="FR126" s="284">
        <f>SUM(FR5:FR125)</f>
        <v>24540.311012906026</v>
      </c>
      <c r="FT126" s="208"/>
      <c r="FU126" s="208">
        <v>0</v>
      </c>
      <c r="FV126" s="208"/>
      <c r="FW126" s="223">
        <f>SUM(FW5:FW125)</f>
        <v>43729.722900000001</v>
      </c>
      <c r="FX126" s="208"/>
      <c r="FY126" s="208"/>
      <c r="GA126" s="285">
        <v>0</v>
      </c>
      <c r="GB126" s="284">
        <f>SUM(GB5:GB125)</f>
        <v>21581.617231636461</v>
      </c>
      <c r="GD126" s="208"/>
      <c r="GE126" s="208">
        <v>0</v>
      </c>
      <c r="GF126" s="208"/>
      <c r="GG126" s="223">
        <f>SUM(GG5:GG125)</f>
        <v>39638.419649999996</v>
      </c>
      <c r="GH126" s="208"/>
      <c r="GI126" s="208"/>
      <c r="GK126" s="285">
        <v>0</v>
      </c>
      <c r="GL126" s="284">
        <f>SUM(GL5:GL125)</f>
        <v>19726.397081892243</v>
      </c>
      <c r="GN126" s="208"/>
      <c r="GO126" s="208">
        <v>0</v>
      </c>
      <c r="GP126" s="208"/>
      <c r="GQ126" s="223">
        <f>SUM(GQ5:GQ125)</f>
        <v>36786.218399999998</v>
      </c>
      <c r="GR126" s="208"/>
      <c r="GS126" s="208"/>
      <c r="GU126" s="285">
        <v>0</v>
      </c>
      <c r="GV126" s="284">
        <f>SUM(GV5:GV125)</f>
        <v>18452.879203295885</v>
      </c>
    </row>
    <row r="131" spans="2:2" x14ac:dyDescent="0.25">
      <c r="B131" s="195" t="s">
        <v>134</v>
      </c>
    </row>
    <row r="132" spans="2:2" x14ac:dyDescent="0.25">
      <c r="B132" s="196" t="s">
        <v>135</v>
      </c>
    </row>
  </sheetData>
  <sheetProtection algorithmName="SHA-512" hashValue="NwmbNGw9Owlbt9fC5y8K3zXLOKwjYSsrYWoW130Nfwo8VmouC7mPupKPmPp6sjEw6w/549npaGeIbrHVY7oZ6A==" saltValue="FH7/PdOZxmq25bI5uwip6Q==" spinCount="100000" sheet="1" objects="1" scenarios="1"/>
  <mergeCells count="102">
    <mergeCell ref="FT3:FU3"/>
    <mergeCell ref="FV3:FW3"/>
    <mergeCell ref="FX3:FY3"/>
    <mergeCell ref="GD3:GE3"/>
    <mergeCell ref="GF3:GG3"/>
    <mergeCell ref="GH3:GI3"/>
    <mergeCell ref="FZ3:GB3"/>
    <mergeCell ref="GJ3:GL3"/>
    <mergeCell ref="DV3:DW3"/>
    <mergeCell ref="DX3:DY3"/>
    <mergeCell ref="DZ3:EA3"/>
    <mergeCell ref="DR3:DT3"/>
    <mergeCell ref="DV2:ED2"/>
    <mergeCell ref="DL2:DT2"/>
    <mergeCell ref="EF3:EG3"/>
    <mergeCell ref="EH3:EI3"/>
    <mergeCell ref="EJ3:EK3"/>
    <mergeCell ref="EF2:EN2"/>
    <mergeCell ref="CV3:CW3"/>
    <mergeCell ref="DB3:DC3"/>
    <mergeCell ref="DD3:DE3"/>
    <mergeCell ref="DF3:DG3"/>
    <mergeCell ref="DB2:DJ2"/>
    <mergeCell ref="CR2:CZ2"/>
    <mergeCell ref="DL3:DM3"/>
    <mergeCell ref="DN3:DO3"/>
    <mergeCell ref="DP3:DQ3"/>
    <mergeCell ref="BZ3:CA3"/>
    <mergeCell ref="CB3:CC3"/>
    <mergeCell ref="CH3:CI3"/>
    <mergeCell ref="CJ3:CK3"/>
    <mergeCell ref="CL3:CM3"/>
    <mergeCell ref="CH2:CP2"/>
    <mergeCell ref="BX2:CF2"/>
    <mergeCell ref="CR3:CS3"/>
    <mergeCell ref="CT3:CU3"/>
    <mergeCell ref="BD3:BE3"/>
    <mergeCell ref="BF3:BG3"/>
    <mergeCell ref="BH3:BI3"/>
    <mergeCell ref="BN3:BO3"/>
    <mergeCell ref="BP3:BQ3"/>
    <mergeCell ref="BR3:BS3"/>
    <mergeCell ref="BN2:BV2"/>
    <mergeCell ref="BD2:BL2"/>
    <mergeCell ref="BX3:BY3"/>
    <mergeCell ref="B3:D3"/>
    <mergeCell ref="F3:G3"/>
    <mergeCell ref="P3:Q3"/>
    <mergeCell ref="R3:S3"/>
    <mergeCell ref="T3:U3"/>
    <mergeCell ref="Z3:AA3"/>
    <mergeCell ref="AB3:AC3"/>
    <mergeCell ref="AD3:AE3"/>
    <mergeCell ref="Z2:AH2"/>
    <mergeCell ref="GX3:GY3"/>
    <mergeCell ref="L3:N3"/>
    <mergeCell ref="F2:N2"/>
    <mergeCell ref="V3:X3"/>
    <mergeCell ref="P2:X2"/>
    <mergeCell ref="AF3:AH3"/>
    <mergeCell ref="AP3:AR3"/>
    <mergeCell ref="AZ3:BB3"/>
    <mergeCell ref="BJ3:BL3"/>
    <mergeCell ref="BT3:BV3"/>
    <mergeCell ref="CD3:CF3"/>
    <mergeCell ref="CN3:CP3"/>
    <mergeCell ref="CX3:CZ3"/>
    <mergeCell ref="DH3:DJ3"/>
    <mergeCell ref="H3:I3"/>
    <mergeCell ref="J3:K3"/>
    <mergeCell ref="AJ3:AK3"/>
    <mergeCell ref="AL3:AM3"/>
    <mergeCell ref="AN3:AO3"/>
    <mergeCell ref="AT3:AU3"/>
    <mergeCell ref="AV3:AW3"/>
    <mergeCell ref="AX3:AY3"/>
    <mergeCell ref="AT2:BB2"/>
    <mergeCell ref="AJ2:AR2"/>
    <mergeCell ref="GT3:GV3"/>
    <mergeCell ref="GN2:GV2"/>
    <mergeCell ref="GD2:GL2"/>
    <mergeCell ref="FT2:GB2"/>
    <mergeCell ref="FJ2:FQ2"/>
    <mergeCell ref="EB3:ED3"/>
    <mergeCell ref="EL3:EN3"/>
    <mergeCell ref="EV3:EX3"/>
    <mergeCell ref="FF3:FH3"/>
    <mergeCell ref="FP3:FR3"/>
    <mergeCell ref="EP3:EQ3"/>
    <mergeCell ref="ER3:ES3"/>
    <mergeCell ref="ET3:EU3"/>
    <mergeCell ref="EP2:EV2"/>
    <mergeCell ref="EZ3:FA3"/>
    <mergeCell ref="FB3:FC3"/>
    <mergeCell ref="FD3:FE3"/>
    <mergeCell ref="FJ3:FK3"/>
    <mergeCell ref="FL3:FM3"/>
    <mergeCell ref="FN3:FO3"/>
    <mergeCell ref="EZ2:FH2"/>
    <mergeCell ref="GN3:GO3"/>
    <mergeCell ref="GP3:GQ3"/>
    <mergeCell ref="GR3:GS3"/>
  </mergeCells>
  <pageMargins left="0.7" right="0.7" top="0.78740157499999996" bottom="0.78740157499999996"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B123"/>
  <sheetViews>
    <sheetView zoomScale="70" zoomScaleNormal="70" workbookViewId="0"/>
  </sheetViews>
  <sheetFormatPr baseColWidth="10" defaultRowHeight="15" x14ac:dyDescent="0.25"/>
  <cols>
    <col min="1" max="1" width="11.42578125" style="115"/>
    <col min="2" max="2" width="35.85546875" customWidth="1"/>
    <col min="3" max="3" width="11.7109375" bestFit="1" customWidth="1"/>
    <col min="4" max="4" width="25.7109375" bestFit="1" customWidth="1"/>
    <col min="5" max="5" width="32" bestFit="1" customWidth="1"/>
    <col min="6" max="6" width="30.7109375" bestFit="1" customWidth="1"/>
    <col min="7" max="7" width="24.28515625" bestFit="1" customWidth="1"/>
    <col min="8" max="8" width="15.85546875" bestFit="1" customWidth="1"/>
    <col min="9" max="9" width="19.140625" bestFit="1" customWidth="1"/>
    <col min="10" max="10" width="17.7109375" bestFit="1" customWidth="1"/>
    <col min="11" max="11" width="14.140625" bestFit="1" customWidth="1"/>
    <col min="14" max="14" width="8" bestFit="1" customWidth="1"/>
    <col min="15" max="15" width="8.7109375" bestFit="1" customWidth="1"/>
    <col min="16" max="16" width="18.28515625" bestFit="1" customWidth="1"/>
    <col min="26" max="26" width="14.85546875" bestFit="1" customWidth="1"/>
    <col min="27" max="27" width="26.85546875" bestFit="1" customWidth="1"/>
  </cols>
  <sheetData>
    <row r="1" spans="1:28" s="161" customFormat="1" ht="14.45" x14ac:dyDescent="0.3">
      <c r="A1" s="115"/>
    </row>
    <row r="2" spans="1:28" s="115" customFormat="1" x14ac:dyDescent="0.25">
      <c r="C2" s="191">
        <v>1</v>
      </c>
      <c r="D2" s="192">
        <v>2</v>
      </c>
      <c r="E2" s="192">
        <v>3</v>
      </c>
      <c r="F2" s="192">
        <v>4</v>
      </c>
      <c r="G2" s="192">
        <v>5</v>
      </c>
      <c r="H2" s="192">
        <v>6</v>
      </c>
      <c r="I2" s="192">
        <v>7</v>
      </c>
      <c r="J2" s="192">
        <v>8</v>
      </c>
      <c r="K2" s="192">
        <v>9</v>
      </c>
      <c r="L2" s="192">
        <v>10</v>
      </c>
      <c r="M2" s="192">
        <v>11</v>
      </c>
      <c r="N2" s="192">
        <v>12</v>
      </c>
      <c r="O2" s="192">
        <v>13</v>
      </c>
      <c r="P2" s="192">
        <v>14</v>
      </c>
      <c r="Q2" s="192">
        <v>15</v>
      </c>
      <c r="R2" s="192">
        <v>16</v>
      </c>
      <c r="S2" s="192">
        <v>17</v>
      </c>
      <c r="T2" s="192">
        <v>18</v>
      </c>
      <c r="U2" s="192">
        <v>19</v>
      </c>
      <c r="V2" s="193">
        <v>20</v>
      </c>
      <c r="X2" s="431" t="s">
        <v>61</v>
      </c>
      <c r="Y2" s="432"/>
      <c r="Z2" s="432"/>
      <c r="AA2" s="432"/>
      <c r="AB2" s="433"/>
    </row>
    <row r="3" spans="1:28" x14ac:dyDescent="0.25">
      <c r="B3" s="184" t="s">
        <v>101</v>
      </c>
      <c r="C3" s="127">
        <f>Wirtschaftlichkeit!G78</f>
        <v>2.9791705198945411</v>
      </c>
      <c r="D3" s="127">
        <f>Wirtschaftlichkeit!H78</f>
        <v>3.4745273948265591</v>
      </c>
      <c r="E3" s="127">
        <f>Wirtschaftlichkeit!I78</f>
        <v>3.8564638410842456</v>
      </c>
      <c r="F3" s="127">
        <f>Wirtschaftlichkeit!J78</f>
        <v>4.1523186407424388</v>
      </c>
      <c r="G3" s="127">
        <f>Wirtschaftlichkeit!K78</f>
        <v>4.4431132644910321</v>
      </c>
      <c r="H3" s="127">
        <f>Wirtschaftlichkeit!L78</f>
        <v>5.0340893328831449</v>
      </c>
      <c r="I3" s="127">
        <f>Wirtschaftlichkeit!M78</f>
        <v>5.4667122980354073</v>
      </c>
      <c r="J3" s="127">
        <f>Wirtschaftlichkeit!N78</f>
        <v>5.8719522361585454</v>
      </c>
      <c r="K3" s="127">
        <f>Wirtschaftlichkeit!O78</f>
        <v>6.3301073829195662</v>
      </c>
      <c r="L3" s="127">
        <f>Wirtschaftlichkeit!P78</f>
        <v>7.0479382036811797</v>
      </c>
      <c r="M3" s="127">
        <f>Wirtschaftlichkeit!Q78</f>
        <v>8.0104781592741592</v>
      </c>
      <c r="N3" s="127">
        <f>Wirtschaftlichkeit!R78</f>
        <v>9.1951136899064263</v>
      </c>
      <c r="O3" s="127">
        <f>Wirtschaftlichkeit!S78</f>
        <v>10.13412318497355</v>
      </c>
      <c r="P3" s="127">
        <f>Wirtschaftlichkeit!T78</f>
        <v>11.146116226390461</v>
      </c>
      <c r="Q3" s="127">
        <f>Wirtschaftlichkeit!U78</f>
        <v>12.245976875316941</v>
      </c>
      <c r="R3" s="127">
        <f>Wirtschaftlichkeit!V78</f>
        <v>13.451883825668515</v>
      </c>
      <c r="S3" s="127">
        <f>Wirtschaftlichkeit!W78</f>
        <v>16.625706160994788</v>
      </c>
      <c r="T3" s="127">
        <f>Wirtschaftlichkeit!X78</f>
        <v>20.017035580018156</v>
      </c>
      <c r="U3" s="127">
        <f>Wirtschaftlichkeit!Y78</f>
        <v>23.116233446328785</v>
      </c>
      <c r="V3" s="128">
        <f>Wirtschaftlichkeit!Z78</f>
        <v>26.012200844747674</v>
      </c>
      <c r="X3" s="116"/>
      <c r="Y3" s="116" t="s">
        <v>82</v>
      </c>
      <c r="Z3" s="116" t="s">
        <v>62</v>
      </c>
      <c r="AA3" s="116" t="s">
        <v>63</v>
      </c>
      <c r="AB3" s="283" t="s">
        <v>127</v>
      </c>
    </row>
    <row r="4" spans="1:28" ht="14.45" x14ac:dyDescent="0.3">
      <c r="B4" s="185" t="s">
        <v>130</v>
      </c>
      <c r="C4" s="17">
        <f>Wirtschaftlichkeit!G79</f>
        <v>2.291666666666667</v>
      </c>
      <c r="D4" s="17">
        <f>Wirtschaftlichkeit!H79</f>
        <v>2.2680412371134024</v>
      </c>
      <c r="E4" s="17">
        <f>Wirtschaftlichkeit!I79</f>
        <v>2.2412827439254324</v>
      </c>
      <c r="F4" s="17">
        <f>Wirtschaftlichkeit!J79</f>
        <v>2.1727175075084757</v>
      </c>
      <c r="G4" s="17">
        <f>Wirtschaftlichkeit!K79</f>
        <v>2.1209819981999258</v>
      </c>
      <c r="H4" s="17">
        <f>Wirtschaftlichkeit!L79</f>
        <v>2.0796268113611864</v>
      </c>
      <c r="I4" s="17">
        <f>Wirtschaftlichkeit!M79</f>
        <v>2.0452912227730469</v>
      </c>
      <c r="J4" s="17">
        <f>Wirtschaftlichkeit!N79</f>
        <v>2.0160069470819098</v>
      </c>
      <c r="K4" s="17">
        <f>Wirtschaftlichkeit!O79</f>
        <v>1.9905246124203864</v>
      </c>
      <c r="L4" s="17">
        <f>Wirtschaftlichkeit!P79</f>
        <v>1.9680029402027726</v>
      </c>
      <c r="M4" s="17">
        <f>Wirtschaftlichkeit!Q79</f>
        <v>1.9034955641066731</v>
      </c>
      <c r="N4" s="17">
        <f>Wirtschaftlichkeit!R79</f>
        <v>1.8864794974827612</v>
      </c>
      <c r="O4" s="17">
        <f>Wirtschaftlichkeit!S79</f>
        <v>1.8709605927032056</v>
      </c>
      <c r="P4" s="17">
        <f>Wirtschaftlichkeit!T79</f>
        <v>1.8567061712262196</v>
      </c>
      <c r="Q4" s="17">
        <f>Wirtschaftlichkeit!U79</f>
        <v>1.8435332554855153</v>
      </c>
      <c r="R4" s="17">
        <f>Wirtschaftlichkeit!V79</f>
        <v>1.8312954314665357</v>
      </c>
      <c r="S4" s="17">
        <f>Wirtschaftlichkeit!W79</f>
        <v>1.8198737699189838</v>
      </c>
      <c r="T4" s="17">
        <f>Wirtschaftlichkeit!X79</f>
        <v>1.809170391899404</v>
      </c>
      <c r="U4" s="17">
        <f>Wirtschaftlichkeit!Y79</f>
        <v>1.7991038070655041</v>
      </c>
      <c r="V4" s="18">
        <f>Wirtschaftlichkeit!Z79</f>
        <v>1.7896054704183741</v>
      </c>
      <c r="X4" s="325"/>
      <c r="Y4" s="314"/>
      <c r="Z4" s="315" t="s">
        <v>22</v>
      </c>
      <c r="AA4" s="315" t="s">
        <v>22</v>
      </c>
      <c r="AB4" s="315" t="s">
        <v>22</v>
      </c>
    </row>
    <row r="5" spans="1:28" x14ac:dyDescent="0.25">
      <c r="B5" s="186" t="s">
        <v>106</v>
      </c>
      <c r="C5" s="17">
        <f>Wirtschaftlichkeit!G80</f>
        <v>1.4175</v>
      </c>
      <c r="D5" s="17">
        <f>Wirtschaftlichkeit!H80</f>
        <v>1.4175</v>
      </c>
      <c r="E5" s="17">
        <f>Wirtschaftlichkeit!I80</f>
        <v>1.4175</v>
      </c>
      <c r="F5" s="17">
        <f>Wirtschaftlichkeit!J80</f>
        <v>1.4175</v>
      </c>
      <c r="G5" s="17">
        <f>Wirtschaftlichkeit!K80</f>
        <v>1.4175</v>
      </c>
      <c r="H5" s="17">
        <f>Wirtschaftlichkeit!L80</f>
        <v>1.4175</v>
      </c>
      <c r="I5" s="17">
        <f>Wirtschaftlichkeit!M80</f>
        <v>1.4175</v>
      </c>
      <c r="J5" s="17">
        <f>Wirtschaftlichkeit!N80</f>
        <v>1.4175</v>
      </c>
      <c r="K5" s="17">
        <f>Wirtschaftlichkeit!O80</f>
        <v>1.4175</v>
      </c>
      <c r="L5" s="17">
        <f>Wirtschaftlichkeit!P80</f>
        <v>1.4175</v>
      </c>
      <c r="M5" s="17">
        <f>Wirtschaftlichkeit!Q80</f>
        <v>1.4175</v>
      </c>
      <c r="N5" s="17">
        <f>Wirtschaftlichkeit!R80</f>
        <v>1.4175000000000002</v>
      </c>
      <c r="O5" s="17">
        <f>Wirtschaftlichkeit!S80</f>
        <v>1.4175</v>
      </c>
      <c r="P5" s="17">
        <f>Wirtschaftlichkeit!T80</f>
        <v>1.4175</v>
      </c>
      <c r="Q5" s="17">
        <f>Wirtschaftlichkeit!U80</f>
        <v>1.4175</v>
      </c>
      <c r="R5" s="17">
        <f>Wirtschaftlichkeit!V80</f>
        <v>1.4175</v>
      </c>
      <c r="S5" s="17">
        <f>Wirtschaftlichkeit!W80</f>
        <v>1.4175</v>
      </c>
      <c r="T5" s="17">
        <f>Wirtschaftlichkeit!X80</f>
        <v>1.4175</v>
      </c>
      <c r="U5" s="17">
        <f>Wirtschaftlichkeit!Y80</f>
        <v>1.4175</v>
      </c>
      <c r="V5" s="18">
        <f>Wirtschaftlichkeit!Z80</f>
        <v>1.4175000000000002</v>
      </c>
      <c r="X5" s="64" t="s">
        <v>64</v>
      </c>
      <c r="Y5" s="331">
        <v>1</v>
      </c>
      <c r="Z5" s="328">
        <f>Eingabemaske!$B$13*Y5</f>
        <v>20.7</v>
      </c>
      <c r="AA5" s="328">
        <f>IF(Eingabemaske!$B$9=2,0,Eingabemaske!$B$13*0.1)</f>
        <v>2.0699999999999998</v>
      </c>
      <c r="AB5" s="329">
        <f t="shared" ref="AB5:AB16" si="0">Z5+AA5</f>
        <v>22.77</v>
      </c>
    </row>
    <row r="6" spans="1:28" x14ac:dyDescent="0.25">
      <c r="B6" s="186" t="s">
        <v>112</v>
      </c>
      <c r="C6" s="17">
        <f>Wirtschaftlichkeit!G81</f>
        <v>14.5</v>
      </c>
      <c r="D6" s="17">
        <f>Wirtschaftlichkeit!H81</f>
        <v>14.499999999999998</v>
      </c>
      <c r="E6" s="17">
        <f>Wirtschaftlichkeit!I81</f>
        <v>14.499999999999998</v>
      </c>
      <c r="F6" s="17">
        <f>Wirtschaftlichkeit!J81</f>
        <v>14.499999999999996</v>
      </c>
      <c r="G6" s="17">
        <f>Wirtschaftlichkeit!K81</f>
        <v>14.5</v>
      </c>
      <c r="H6" s="17">
        <f>Wirtschaftlichkeit!L81</f>
        <v>14.499999999999996</v>
      </c>
      <c r="I6" s="17">
        <f>Wirtschaftlichkeit!M81</f>
        <v>14.5</v>
      </c>
      <c r="J6" s="17">
        <f>Wirtschaftlichkeit!N81</f>
        <v>14.5</v>
      </c>
      <c r="K6" s="17">
        <f>Wirtschaftlichkeit!O81</f>
        <v>14.499999999999998</v>
      </c>
      <c r="L6" s="17">
        <f>Wirtschaftlichkeit!P81</f>
        <v>14.499999999999998</v>
      </c>
      <c r="M6" s="17">
        <f>Wirtschaftlichkeit!Q81</f>
        <v>14.5</v>
      </c>
      <c r="N6" s="17">
        <f>Wirtschaftlichkeit!R81</f>
        <v>14.5</v>
      </c>
      <c r="O6" s="17">
        <f>Wirtschaftlichkeit!S81</f>
        <v>14.499999999999998</v>
      </c>
      <c r="P6" s="17">
        <f>Wirtschaftlichkeit!T81</f>
        <v>14.499999999999998</v>
      </c>
      <c r="Q6" s="17">
        <f>Wirtschaftlichkeit!U81</f>
        <v>14.499999999999996</v>
      </c>
      <c r="R6" s="17">
        <f>Wirtschaftlichkeit!V81</f>
        <v>14.5</v>
      </c>
      <c r="S6" s="17">
        <f>Wirtschaftlichkeit!W81</f>
        <v>14.5</v>
      </c>
      <c r="T6" s="17">
        <f>Wirtschaftlichkeit!X81</f>
        <v>14.5</v>
      </c>
      <c r="U6" s="17">
        <f>Wirtschaftlichkeit!Y81</f>
        <v>14.5</v>
      </c>
      <c r="V6" s="18">
        <f>Wirtschaftlichkeit!Z81</f>
        <v>14.5</v>
      </c>
      <c r="X6" s="64" t="s">
        <v>65</v>
      </c>
      <c r="Y6" s="331">
        <v>0.92900000000000005</v>
      </c>
      <c r="Z6" s="328">
        <f>Eingabemaske!$B$13*Y6</f>
        <v>19.2303</v>
      </c>
      <c r="AA6" s="328">
        <f>IF(Eingabemaske!$B$9=2,0,Eingabemaske!$B$13*0.1)</f>
        <v>2.0699999999999998</v>
      </c>
      <c r="AB6" s="329">
        <f t="shared" si="0"/>
        <v>21.3003</v>
      </c>
    </row>
    <row r="7" spans="1:28" x14ac:dyDescent="0.25">
      <c r="B7" s="186" t="s">
        <v>177</v>
      </c>
      <c r="C7" s="17">
        <f>Wirtschaftlichkeit!G82</f>
        <v>0.49999999999999994</v>
      </c>
      <c r="D7" s="17">
        <f>Wirtschaftlichkeit!H82</f>
        <v>0.5</v>
      </c>
      <c r="E7" s="17">
        <f>Wirtschaftlichkeit!I82</f>
        <v>0.5</v>
      </c>
      <c r="F7" s="17">
        <f>Wirtschaftlichkeit!J82</f>
        <v>0.5</v>
      </c>
      <c r="G7" s="17">
        <f>Wirtschaftlichkeit!K82</f>
        <v>0.5</v>
      </c>
      <c r="H7" s="17">
        <f>Wirtschaftlichkeit!L82</f>
        <v>0.5</v>
      </c>
      <c r="I7" s="17">
        <f>Wirtschaftlichkeit!M82</f>
        <v>0.5</v>
      </c>
      <c r="J7" s="17">
        <f>Wirtschaftlichkeit!N82</f>
        <v>0.5</v>
      </c>
      <c r="K7" s="17">
        <f>Wirtschaftlichkeit!O82</f>
        <v>0.5</v>
      </c>
      <c r="L7" s="17">
        <f>Wirtschaftlichkeit!P82</f>
        <v>0.5</v>
      </c>
      <c r="M7" s="17">
        <f>Wirtschaftlichkeit!Q82</f>
        <v>0.5</v>
      </c>
      <c r="N7" s="17">
        <f>Wirtschaftlichkeit!R82</f>
        <v>0.5</v>
      </c>
      <c r="O7" s="17">
        <f>Wirtschaftlichkeit!S82</f>
        <v>0.5</v>
      </c>
      <c r="P7" s="17">
        <f>Wirtschaftlichkeit!T82</f>
        <v>0.5</v>
      </c>
      <c r="Q7" s="17">
        <f>Wirtschaftlichkeit!U82</f>
        <v>0.5</v>
      </c>
      <c r="R7" s="17">
        <f>Wirtschaftlichkeit!V82</f>
        <v>0.5</v>
      </c>
      <c r="S7" s="17">
        <f>Wirtschaftlichkeit!W82</f>
        <v>0.5</v>
      </c>
      <c r="T7" s="17">
        <f>Wirtschaftlichkeit!X82</f>
        <v>0.5</v>
      </c>
      <c r="U7" s="17">
        <f>Wirtschaftlichkeit!Y82</f>
        <v>0.5</v>
      </c>
      <c r="V7" s="18">
        <f>Wirtschaftlichkeit!Z82</f>
        <v>0.5</v>
      </c>
      <c r="X7" s="64" t="s">
        <v>66</v>
      </c>
      <c r="Y7" s="331">
        <v>0.753</v>
      </c>
      <c r="Z7" s="328">
        <f>Eingabemaske!$B$13*Y7</f>
        <v>15.5871</v>
      </c>
      <c r="AA7" s="328">
        <f>IF(Eingabemaske!$B$9=2,0,Eingabemaske!$B$13*0.1)</f>
        <v>2.0699999999999998</v>
      </c>
      <c r="AB7" s="329">
        <f t="shared" si="0"/>
        <v>17.6571</v>
      </c>
    </row>
    <row r="8" spans="1:28" x14ac:dyDescent="0.25">
      <c r="B8" s="187" t="s">
        <v>0</v>
      </c>
      <c r="C8" s="44">
        <f>Wirtschaftlichkeit!G83</f>
        <v>10.200000000000001</v>
      </c>
      <c r="D8" s="44">
        <f>Wirtschaftlichkeit!H83</f>
        <v>10.057731958762888</v>
      </c>
      <c r="E8" s="44">
        <f>Wirtschaftlichkeit!I83</f>
        <v>9.8965971779655142</v>
      </c>
      <c r="F8" s="44">
        <f>Wirtschaftlichkeit!J83</f>
        <v>9.4837097906692236</v>
      </c>
      <c r="G8" s="44">
        <f>Wirtschaftlichkeit!K83</f>
        <v>9.1721679600693733</v>
      </c>
      <c r="H8" s="44">
        <f>Wirtschaftlichkeit!L83</f>
        <v>8.9231345440513632</v>
      </c>
      <c r="I8" s="44">
        <f>Wirtschaftlichkeit!M83</f>
        <v>8.7163718724078745</v>
      </c>
      <c r="J8" s="44">
        <f>Wirtschaftlichkeit!N83</f>
        <v>8.5400272886096129</v>
      </c>
      <c r="K8" s="44">
        <f>Wirtschaftlichkeit!O83</f>
        <v>8.3865773024296697</v>
      </c>
      <c r="L8" s="44">
        <f>Wirtschaftlichkeit!P83</f>
        <v>8.2509558871846966</v>
      </c>
      <c r="M8" s="44">
        <f>Wirtschaftlichkeit!Q83</f>
        <v>7.8625041969478211</v>
      </c>
      <c r="N8" s="44">
        <f>Wirtschaftlichkeit!R83</f>
        <v>7.7600365375689195</v>
      </c>
      <c r="O8" s="44">
        <f>Wirtschaftlichkeit!S83</f>
        <v>7.6665845146054847</v>
      </c>
      <c r="P8" s="44">
        <f>Wirtschaftlichkeit!T83</f>
        <v>7.5807469801840712</v>
      </c>
      <c r="Q8" s="44">
        <f>Wirtschaftlichkeit!U83</f>
        <v>7.5014220766691393</v>
      </c>
      <c r="R8" s="44">
        <f>Wirtschaftlichkeit!V83</f>
        <v>7.4277281254857579</v>
      </c>
      <c r="S8" s="44">
        <f>Wirtschaftlichkeit!W83</f>
        <v>7.3589489563121351</v>
      </c>
      <c r="T8" s="44">
        <f>Wirtschaftlichkeit!X83</f>
        <v>7.2944951599469574</v>
      </c>
      <c r="U8" s="44">
        <f>Wirtschaftlichkeit!Y83</f>
        <v>7.2338760163653646</v>
      </c>
      <c r="V8" s="52">
        <f>Wirtschaftlichkeit!Z83</f>
        <v>7.1766787600466442</v>
      </c>
      <c r="X8" s="64" t="s">
        <v>67</v>
      </c>
      <c r="Y8" s="331">
        <v>0.48899999999999999</v>
      </c>
      <c r="Z8" s="328">
        <f>Eingabemaske!$B$13*Y8</f>
        <v>10.122299999999999</v>
      </c>
      <c r="AA8" s="328">
        <f>IF(Eingabemaske!$B$9=2,0,Eingabemaske!$B$13*0.1)</f>
        <v>2.0699999999999998</v>
      </c>
      <c r="AB8" s="329">
        <f t="shared" si="0"/>
        <v>12.192299999999999</v>
      </c>
    </row>
    <row r="9" spans="1:28" ht="14.45" x14ac:dyDescent="0.3">
      <c r="X9" s="64" t="s">
        <v>68</v>
      </c>
      <c r="Y9" s="331">
        <v>0.26900000000000002</v>
      </c>
      <c r="Z9" s="328">
        <f>Eingabemaske!$B$13*Y9</f>
        <v>5.5682999999999998</v>
      </c>
      <c r="AA9" s="328">
        <f>IF(Eingabemaske!$B$9=2,0,Eingabemaske!$B$13*0.1)</f>
        <v>2.0699999999999998</v>
      </c>
      <c r="AB9" s="329">
        <f t="shared" si="0"/>
        <v>7.6382999999999992</v>
      </c>
    </row>
    <row r="10" spans="1:28" ht="14.45" x14ac:dyDescent="0.3">
      <c r="B10" s="188" t="s">
        <v>116</v>
      </c>
      <c r="C10" s="129">
        <f>Wirtschaftlichkeit!G88</f>
        <v>18.45</v>
      </c>
      <c r="D10" s="69">
        <f>Wirtschaftlichkeit!H88</f>
        <v>16.494845360824744</v>
      </c>
      <c r="E10" s="69">
        <f>Wirtschaftlichkeit!I88</f>
        <v>16.300238137639507</v>
      </c>
      <c r="F10" s="69">
        <f>Wirtschaftlichkeit!J88</f>
        <v>15.801581872788914</v>
      </c>
      <c r="G10" s="69">
        <f>Wirtschaftlichkeit!K88</f>
        <v>15.425323623272186</v>
      </c>
      <c r="H10" s="69">
        <f>Wirtschaftlichkeit!L88</f>
        <v>15.124558628081354</v>
      </c>
      <c r="I10" s="69">
        <f>Wirtschaftlichkeit!M88</f>
        <v>14.874845256531248</v>
      </c>
      <c r="J10" s="69">
        <f>Wirtschaftlichkeit!N88</f>
        <v>14.661868706050251</v>
      </c>
      <c r="K10" s="69">
        <f>Wirtschaftlichkeit!O88</f>
        <v>14.476542635784627</v>
      </c>
      <c r="L10" s="69">
        <f>Wirtschaftlichkeit!P88</f>
        <v>14.312748656020165</v>
      </c>
      <c r="M10" s="69">
        <f>Wirtschaftlichkeit!Q88</f>
        <v>13.843604102593984</v>
      </c>
      <c r="N10" s="69">
        <f>Wirtschaftlichkeit!R88</f>
        <v>13.719850890783718</v>
      </c>
      <c r="O10" s="69">
        <f>Wirtschaftlichkeit!S88</f>
        <v>13.606986128750584</v>
      </c>
      <c r="P10" s="69">
        <f>Wirtschaftlichkeit!T88</f>
        <v>13.503317608917959</v>
      </c>
      <c r="Q10" s="69">
        <f>Wirtschaftlichkeit!U88</f>
        <v>13.407514585349201</v>
      </c>
      <c r="R10" s="69">
        <f>Wirtschaftlichkeit!V88</f>
        <v>13.318512228847533</v>
      </c>
      <c r="S10" s="69">
        <f>Wirtschaftlichkeit!W88</f>
        <v>13.235445599410788</v>
      </c>
      <c r="T10" s="69">
        <f>Wirtschaftlichkeit!X88</f>
        <v>13.157602850177483</v>
      </c>
      <c r="U10" s="69">
        <f>Wirtschaftlichkeit!Y88</f>
        <v>13.084391324112758</v>
      </c>
      <c r="V10" s="70">
        <f>Wirtschaftlichkeit!Z88</f>
        <v>13.015312512133628</v>
      </c>
      <c r="X10" s="64" t="s">
        <v>69</v>
      </c>
      <c r="Y10" s="331">
        <v>9.9000000000000005E-2</v>
      </c>
      <c r="Z10" s="328">
        <f>Eingabemaske!$B$13*Y10</f>
        <v>2.0493000000000001</v>
      </c>
      <c r="AA10" s="328">
        <f>IF(Eingabemaske!$B$9=2,0,Eingabemaske!$B$13*0.1)</f>
        <v>2.0699999999999998</v>
      </c>
      <c r="AB10" s="329">
        <f t="shared" si="0"/>
        <v>4.1193</v>
      </c>
    </row>
    <row r="11" spans="1:28" ht="14.45" x14ac:dyDescent="0.3">
      <c r="B11" s="189" t="s">
        <v>38</v>
      </c>
      <c r="C11" s="130">
        <f>Wirtschaftlichkeit!G89</f>
        <v>8</v>
      </c>
      <c r="D11" s="43">
        <f>Wirtschaftlichkeit!H89</f>
        <v>5.60563413714923</v>
      </c>
      <c r="E11" s="43">
        <f>Wirtschaftlichkeit!I89</f>
        <v>5.0652622378317815</v>
      </c>
      <c r="F11" s="43">
        <f>Wirtschaftlichkeit!J89</f>
        <v>4.7137576511526378</v>
      </c>
      <c r="G11" s="43">
        <f>Wirtschaftlichkeit!K89</f>
        <v>4.4579967454521228</v>
      </c>
      <c r="H11" s="43">
        <f>Wirtschaftlichkeit!L89</f>
        <v>4.2593608581127533</v>
      </c>
      <c r="I11" s="43">
        <f>Wirtschaftlichkeit!M89</f>
        <v>4.0983376724928933</v>
      </c>
      <c r="J11" s="43">
        <f>Wirtschaftlichkeit!N89</f>
        <v>3.9637819112290225</v>
      </c>
      <c r="K11" s="43">
        <f>Wirtschaftlichkeit!O89</f>
        <v>3.8487670054880363</v>
      </c>
      <c r="L11" s="43">
        <f>Wirtschaftlichkeit!P89</f>
        <v>3.7487134824634158</v>
      </c>
      <c r="M11" s="43">
        <f>Wirtschaftlichkeit!Q89</f>
        <v>3.6604466109761247</v>
      </c>
      <c r="N11" s="43">
        <f>Wirtschaftlichkeit!R89</f>
        <v>3.5816812768590025</v>
      </c>
      <c r="O11" s="43">
        <f>Wirtschaftlichkeit!S89</f>
        <v>3.5107217518951219</v>
      </c>
      <c r="P11" s="43">
        <f>Wirtschaftlichkeit!T89</f>
        <v>3.4462774572985313</v>
      </c>
      <c r="Q11" s="43">
        <f>Wirtschaftlichkeit!U89</f>
        <v>3.3873450137131838</v>
      </c>
      <c r="R11" s="43">
        <f>Wirtschaftlichkeit!V89</f>
        <v>3.3331300000000001</v>
      </c>
      <c r="S11" s="43">
        <f>Wirtschaftlichkeit!W89</f>
        <v>3.2829934618850745</v>
      </c>
      <c r="T11" s="43">
        <f>Wirtschaftlichkeit!X89</f>
        <v>3.2364143780616592</v>
      </c>
      <c r="U11" s="43">
        <f>Wirtschaftlichkeit!Y89</f>
        <v>3.1929627203494864</v>
      </c>
      <c r="V11" s="51">
        <f>Wirtschaftlichkeit!Z89</f>
        <v>3.1522797292167564</v>
      </c>
      <c r="X11" s="64" t="s">
        <v>70</v>
      </c>
      <c r="Y11" s="331">
        <v>0</v>
      </c>
      <c r="Z11" s="328">
        <f>Eingabemaske!$B$13*Y11</f>
        <v>0</v>
      </c>
      <c r="AA11" s="328">
        <f>IF(Eingabemaske!$B$9=2,0,Eingabemaske!$B$13*0.1)</f>
        <v>2.0699999999999998</v>
      </c>
      <c r="AB11" s="329">
        <f t="shared" si="0"/>
        <v>2.0699999999999998</v>
      </c>
    </row>
    <row r="12" spans="1:28" ht="14.45" x14ac:dyDescent="0.3">
      <c r="B12" s="190" t="s">
        <v>23</v>
      </c>
      <c r="C12" s="131">
        <f>Wirtschaftlichkeit!G90</f>
        <v>0</v>
      </c>
      <c r="D12" s="104">
        <f>Wirtschaftlichkeit!H90</f>
        <v>0</v>
      </c>
      <c r="E12" s="104">
        <f>Wirtschaftlichkeit!I90</f>
        <v>0</v>
      </c>
      <c r="F12" s="104">
        <f>Wirtschaftlichkeit!J90</f>
        <v>0.17147363986343936</v>
      </c>
      <c r="G12" s="104">
        <f>Wirtschaftlichkeit!K90</f>
        <v>0.32974861058079952</v>
      </c>
      <c r="H12" s="104">
        <f>Wirtschaftlichkeit!L90</f>
        <v>0.38228323274612508</v>
      </c>
      <c r="I12" s="104">
        <f>Wirtschaftlichkeit!M90</f>
        <v>0.44376452519721488</v>
      </c>
      <c r="J12" s="104">
        <f>Wirtschaftlichkeit!N90</f>
        <v>0.49350032273851269</v>
      </c>
      <c r="K12" s="104">
        <f>Wirtschaftlichkeit!O90</f>
        <v>0.52595736460979781</v>
      </c>
      <c r="L12" s="104">
        <f>Wirtschaftlichkeit!P90</f>
        <v>1.2708000000000002</v>
      </c>
      <c r="M12" s="104">
        <f>Wirtschaftlichkeit!Q90</f>
        <v>1.2708000000000002</v>
      </c>
      <c r="N12" s="104">
        <f>Wirtschaftlichkeit!R90</f>
        <v>1.2708000000000002</v>
      </c>
      <c r="O12" s="104">
        <f>Wirtschaftlichkeit!S90</f>
        <v>1.2708000000000002</v>
      </c>
      <c r="P12" s="104">
        <f>Wirtschaftlichkeit!T90</f>
        <v>1.2708000000000002</v>
      </c>
      <c r="Q12" s="104">
        <f>Wirtschaftlichkeit!U90</f>
        <v>1.2708000000000002</v>
      </c>
      <c r="R12" s="104">
        <f>Wirtschaftlichkeit!V90</f>
        <v>1.2708000000000002</v>
      </c>
      <c r="S12" s="104">
        <f>Wirtschaftlichkeit!W90</f>
        <v>1.2708000000000004</v>
      </c>
      <c r="T12" s="104">
        <f>Wirtschaftlichkeit!X90</f>
        <v>1.2708000000000002</v>
      </c>
      <c r="U12" s="104">
        <f>Wirtschaftlichkeit!Y90</f>
        <v>1.2708000000000002</v>
      </c>
      <c r="V12" s="120">
        <f>Wirtschaftlichkeit!Z90</f>
        <v>1.2708000000000002</v>
      </c>
      <c r="X12" s="64" t="s">
        <v>71</v>
      </c>
      <c r="Y12" s="331">
        <v>2.7E-2</v>
      </c>
      <c r="Z12" s="328">
        <f>Eingabemaske!$B$13*Y12</f>
        <v>0.55889999999999995</v>
      </c>
      <c r="AA12" s="328">
        <f>IF(Eingabemaske!$B$9=2,0,Eingabemaske!$B$13*0.1)</f>
        <v>2.0699999999999998</v>
      </c>
      <c r="AB12" s="329">
        <f t="shared" si="0"/>
        <v>2.6288999999999998</v>
      </c>
    </row>
    <row r="13" spans="1:28" s="161" customFormat="1" ht="14.45" x14ac:dyDescent="0.3">
      <c r="A13" s="115"/>
      <c r="B13" s="166"/>
      <c r="C13" s="170"/>
      <c r="D13" s="170"/>
      <c r="E13" s="170"/>
      <c r="F13" s="170"/>
      <c r="G13" s="170"/>
      <c r="H13" s="170"/>
      <c r="I13" s="170"/>
      <c r="J13" s="170"/>
      <c r="K13" s="170"/>
      <c r="L13" s="170"/>
      <c r="M13" s="170"/>
      <c r="N13" s="170"/>
      <c r="O13" s="170"/>
      <c r="P13" s="170"/>
      <c r="Q13" s="170"/>
      <c r="R13" s="170"/>
      <c r="S13" s="170"/>
      <c r="T13" s="170"/>
      <c r="U13" s="170"/>
      <c r="V13" s="170"/>
      <c r="X13" s="64" t="s">
        <v>72</v>
      </c>
      <c r="Y13" s="331">
        <v>0.23599999999999999</v>
      </c>
      <c r="Z13" s="328">
        <f>Eingabemaske!$B$13*Y13</f>
        <v>4.8851999999999993</v>
      </c>
      <c r="AA13" s="328">
        <f>IF(Eingabemaske!$B$9=2,0,Eingabemaske!$B$13*0.1)</f>
        <v>2.0699999999999998</v>
      </c>
      <c r="AB13" s="329">
        <f t="shared" si="0"/>
        <v>6.9551999999999996</v>
      </c>
    </row>
    <row r="14" spans="1:28" s="115" customFormat="1" ht="14.45" x14ac:dyDescent="0.3">
      <c r="B14" s="200" t="s">
        <v>2</v>
      </c>
      <c r="C14" s="171">
        <v>1</v>
      </c>
      <c r="D14" s="162">
        <v>2</v>
      </c>
      <c r="E14" s="162">
        <v>3</v>
      </c>
      <c r="F14" s="162">
        <v>4</v>
      </c>
      <c r="G14" s="171">
        <v>5</v>
      </c>
      <c r="H14" s="162">
        <v>6</v>
      </c>
      <c r="I14" s="162">
        <v>7</v>
      </c>
      <c r="J14" s="162">
        <v>8</v>
      </c>
      <c r="K14" s="162">
        <v>9</v>
      </c>
      <c r="L14" s="171">
        <v>10</v>
      </c>
      <c r="M14" s="162">
        <v>11</v>
      </c>
      <c r="N14" s="162">
        <v>12</v>
      </c>
      <c r="O14" s="162">
        <v>13</v>
      </c>
      <c r="P14" s="162">
        <v>14</v>
      </c>
      <c r="Q14" s="171">
        <v>15</v>
      </c>
      <c r="R14" s="162">
        <v>16</v>
      </c>
      <c r="S14" s="162">
        <v>17</v>
      </c>
      <c r="T14" s="162">
        <v>18</v>
      </c>
      <c r="U14" s="162">
        <v>19</v>
      </c>
      <c r="V14" s="174">
        <v>20</v>
      </c>
      <c r="X14" s="64" t="s">
        <v>73</v>
      </c>
      <c r="Y14" s="331">
        <v>0.46700000000000003</v>
      </c>
      <c r="Z14" s="328">
        <f>Eingabemaske!$B$13*Y14</f>
        <v>9.6669</v>
      </c>
      <c r="AA14" s="328">
        <f>IF(Eingabemaske!$B$9=2,0,Eingabemaske!$B$13*0.1)</f>
        <v>2.0699999999999998</v>
      </c>
      <c r="AB14" s="329">
        <f t="shared" si="0"/>
        <v>11.7369</v>
      </c>
    </row>
    <row r="15" spans="1:28" s="161" customFormat="1" ht="14.45" x14ac:dyDescent="0.3">
      <c r="A15" s="115"/>
      <c r="B15" s="186" t="s">
        <v>12</v>
      </c>
      <c r="C15" s="168">
        <f>Wirtschaftlichkeit!G97</f>
        <v>296.85883467687256</v>
      </c>
      <c r="D15" s="168">
        <f>Wirtschaftlichkeit!H97</f>
        <v>1234.0817406725771</v>
      </c>
      <c r="E15" s="168">
        <f>Wirtschaftlichkeit!I97</f>
        <v>1866.0266850776275</v>
      </c>
      <c r="F15" s="168">
        <f>Wirtschaftlichkeit!J97</f>
        <v>2445.2433946699684</v>
      </c>
      <c r="G15" s="168">
        <f>Wirtschaftlichkeit!K97</f>
        <v>2977.5245686894459</v>
      </c>
      <c r="H15" s="168">
        <f>Wirtschaftlichkeit!L97</f>
        <v>3360.0161239531908</v>
      </c>
      <c r="I15" s="168">
        <f>Wirtschaftlichkeit!M97</f>
        <v>3781.8110068773212</v>
      </c>
      <c r="J15" s="168">
        <f>Wirtschaftlichkeit!N97</f>
        <v>4199.8311136488264</v>
      </c>
      <c r="K15" s="168">
        <f>Wirtschaftlichkeit!O97</f>
        <v>4577.3453838161431</v>
      </c>
      <c r="L15" s="168">
        <f>Wirtschaftlichkeit!P97</f>
        <v>4588.7858406726409</v>
      </c>
      <c r="M15" s="168">
        <f>Wirtschaftlichkeit!Q97</f>
        <v>4765.4514605311679</v>
      </c>
      <c r="N15" s="168">
        <f>Wirtschaftlichkeit!R97</f>
        <v>4889.5616037932332</v>
      </c>
      <c r="O15" s="168">
        <f>Wirtschaftlichkeit!S97</f>
        <v>5092.5074117518016</v>
      </c>
      <c r="P15" s="168">
        <f>Wirtschaftlichkeit!T97</f>
        <v>5284.8714533828816</v>
      </c>
      <c r="Q15" s="168">
        <f>Wirtschaftlichkeit!U97</f>
        <v>5467.0186027915652</v>
      </c>
      <c r="R15" s="168">
        <f>Wirtschaftlichkeit!V97</f>
        <v>5639.2280430486517</v>
      </c>
      <c r="S15" s="168">
        <f>Wirtschaftlichkeit!W97</f>
        <v>5563.3972978372822</v>
      </c>
      <c r="T15" s="168">
        <f>Wirtschaftlichkeit!X97</f>
        <v>5565.1986653027661</v>
      </c>
      <c r="U15" s="168">
        <f>Wirtschaftlichkeit!Y97</f>
        <v>5651.0205006593496</v>
      </c>
      <c r="V15" s="172">
        <f>Wirtschaftlichkeit!Z97</f>
        <v>5781.1578304988607</v>
      </c>
      <c r="X15" s="64" t="s">
        <v>74</v>
      </c>
      <c r="Y15" s="331">
        <v>0.71399999999999997</v>
      </c>
      <c r="Z15" s="328">
        <f>Eingabemaske!$B$13*Y15</f>
        <v>14.779799999999998</v>
      </c>
      <c r="AA15" s="328">
        <f>IF(Eingabemaske!$B$9=2,0,Eingabemaske!$B$13*0.1)</f>
        <v>2.0699999999999998</v>
      </c>
      <c r="AB15" s="329">
        <f t="shared" si="0"/>
        <v>16.849799999999998</v>
      </c>
    </row>
    <row r="16" spans="1:28" s="161" customFormat="1" ht="14.45" x14ac:dyDescent="0.3">
      <c r="A16" s="115"/>
      <c r="B16" s="186" t="s">
        <v>132</v>
      </c>
      <c r="C16" s="168">
        <f>Wirtschaftlichkeit!G98</f>
        <v>3.6849712034982751</v>
      </c>
      <c r="D16" s="168">
        <f>Wirtschaftlichkeit!H98</f>
        <v>8.9330225321294066</v>
      </c>
      <c r="E16" s="168">
        <f>Wirtschaftlichkeit!I98</f>
        <v>9.9948117187502348</v>
      </c>
      <c r="F16" s="168">
        <f>Wirtschaftlichkeit!J98</f>
        <v>10.576489300875448</v>
      </c>
      <c r="G16" s="168">
        <f>Wirtschaftlichkeit!K98</f>
        <v>11.024565755410013</v>
      </c>
      <c r="H16" s="168">
        <f>Wirtschaftlichkeit!L98</f>
        <v>11.746264811047311</v>
      </c>
      <c r="I16" s="168">
        <f>Wirtschaftlichkeit!M98</f>
        <v>12.305995678655904</v>
      </c>
      <c r="J16" s="168">
        <f>Wirtschaftlichkeit!N98</f>
        <v>12.844379010040866</v>
      </c>
      <c r="K16" s="168">
        <f>Wirtschaftlichkeit!O98</f>
        <v>13.414392503827482</v>
      </c>
      <c r="L16" s="168">
        <f>Wirtschaftlichkeit!P98</f>
        <v>13.475616264578319</v>
      </c>
      <c r="M16" s="168">
        <f>Wirtschaftlichkeit!Q98</f>
        <v>14.459676077146236</v>
      </c>
      <c r="N16" s="168">
        <f>Wirtschaftlichkeit!R98</f>
        <v>15.611137097458327</v>
      </c>
      <c r="O16" s="168">
        <f>Wirtschaftlichkeit!S98</f>
        <v>16.541056868937044</v>
      </c>
      <c r="P16" s="168">
        <f>Wirtschaftlichkeit!T98</f>
        <v>17.531485553850796</v>
      </c>
      <c r="Q16" s="168">
        <f>Wirtschaftlichkeit!U98</f>
        <v>18.596939829642512</v>
      </c>
      <c r="R16" s="168">
        <f>Wirtschaftlichkeit!V98</f>
        <v>19.75475013061002</v>
      </c>
      <c r="S16" s="168">
        <f>Wirtschaftlichkeit!W98</f>
        <v>22.670443316351733</v>
      </c>
      <c r="T16" s="168">
        <f>Wirtschaftlichkeit!X98</f>
        <v>25.786754558619219</v>
      </c>
      <c r="U16" s="168">
        <f>Wirtschaftlichkeit!Y98</f>
        <v>28.646997610357737</v>
      </c>
      <c r="V16" s="172">
        <f>Wirtschaftlichkeit!Z98</f>
        <v>31.329299708775437</v>
      </c>
      <c r="X16" s="64" t="s">
        <v>75</v>
      </c>
      <c r="Y16" s="331">
        <v>0.91800000000000004</v>
      </c>
      <c r="Z16" s="328">
        <f>Eingabemaske!$B$13*Y16</f>
        <v>19.002600000000001</v>
      </c>
      <c r="AA16" s="328">
        <f>IF(Eingabemaske!$B$9=2,0,Eingabemaske!$B$13*0.1)</f>
        <v>2.0699999999999998</v>
      </c>
      <c r="AB16" s="329">
        <f t="shared" si="0"/>
        <v>21.072600000000001</v>
      </c>
    </row>
    <row r="17" spans="1:28" s="161" customFormat="1" ht="14.45" x14ac:dyDescent="0.3">
      <c r="A17" s="115"/>
      <c r="B17" s="187" t="s">
        <v>133</v>
      </c>
      <c r="C17" s="169">
        <f>Wirtschaftlichkeit!G99</f>
        <v>47.581538260011364</v>
      </c>
      <c r="D17" s="169">
        <f>Wirtschaftlichkeit!H99</f>
        <v>13.257534684815816</v>
      </c>
      <c r="E17" s="169">
        <f>Wirtschaftlichkeit!I99</f>
        <v>10.520775161587073</v>
      </c>
      <c r="F17" s="169">
        <f>Wirtschaftlichkeit!J99</f>
        <v>9.1045662397634093</v>
      </c>
      <c r="G17" s="169">
        <f>Wirtschaftlichkeit!K99</f>
        <v>8.3098827506710933</v>
      </c>
      <c r="H17" s="169">
        <f>Wirtschaftlichkeit!L99</f>
        <v>8.0185758916512082</v>
      </c>
      <c r="I17" s="169">
        <f>Wirtschaftlichkeit!M99</f>
        <v>7.4998584790651455</v>
      </c>
      <c r="J17" s="169">
        <f>Wirtschaftlichkeit!N99</f>
        <v>6.8664784891660595</v>
      </c>
      <c r="K17" s="169">
        <f>Wirtschaftlichkeit!O99</f>
        <v>6.4039410492466811</v>
      </c>
      <c r="L17" s="169">
        <f>Wirtschaftlichkeit!P99</f>
        <v>6.5044789848368252</v>
      </c>
      <c r="M17" s="169">
        <f>Wirtschaftlichkeit!Q99</f>
        <v>6.6353570058788049</v>
      </c>
      <c r="N17" s="169">
        <f>Wirtschaftlichkeit!R99</f>
        <v>6.8903402304511658</v>
      </c>
      <c r="O17" s="169">
        <f>Wirtschaftlichkeit!S99</f>
        <v>7.0104561751259604</v>
      </c>
      <c r="P17" s="169">
        <f>Wirtschaftlichkeit!T99</f>
        <v>7.1254016318034328</v>
      </c>
      <c r="Q17" s="169">
        <f>Wirtschaftlichkeit!U99</f>
        <v>7.2368507458496678</v>
      </c>
      <c r="R17" s="169">
        <f>Wirtschaftlichkeit!V99</f>
        <v>7.3461573220032799</v>
      </c>
      <c r="S17" s="169">
        <f>Wirtschaftlichkeit!W99</f>
        <v>7.7737628902350053</v>
      </c>
      <c r="T17" s="169">
        <f>Wirtschaftlichkeit!X99</f>
        <v>8.0918649156207909</v>
      </c>
      <c r="U17" s="169">
        <f>Wirtschaftlichkeit!Y99</f>
        <v>8.2785695282852263</v>
      </c>
      <c r="V17" s="173">
        <f>Wirtschaftlichkeit!Z99</f>
        <v>8.3892495188798613</v>
      </c>
      <c r="X17" s="203" t="s">
        <v>202</v>
      </c>
      <c r="Y17" s="203"/>
      <c r="Z17" s="203"/>
      <c r="AA17" s="203"/>
      <c r="AB17" s="203"/>
    </row>
    <row r="18" spans="1:28" s="161" customFormat="1" ht="14.45" x14ac:dyDescent="0.3">
      <c r="A18" s="115"/>
      <c r="B18" s="166"/>
      <c r="C18" s="170"/>
      <c r="D18" s="170"/>
      <c r="E18" s="170"/>
      <c r="F18" s="170"/>
      <c r="G18" s="170"/>
      <c r="H18" s="170"/>
      <c r="I18" s="170"/>
      <c r="J18" s="170"/>
      <c r="K18" s="170"/>
      <c r="L18" s="170"/>
      <c r="M18" s="170"/>
      <c r="N18" s="170"/>
      <c r="O18" s="170"/>
      <c r="P18" s="170"/>
      <c r="Q18" s="170"/>
      <c r="R18" s="170"/>
      <c r="S18" s="170"/>
      <c r="T18" s="170"/>
      <c r="U18" s="170"/>
      <c r="V18" s="170"/>
    </row>
    <row r="19" spans="1:28" s="115" customFormat="1" ht="14.45" x14ac:dyDescent="0.3">
      <c r="B19" s="200" t="s">
        <v>7</v>
      </c>
      <c r="C19" s="178">
        <v>1</v>
      </c>
      <c r="D19" s="179">
        <v>2</v>
      </c>
      <c r="E19" s="179">
        <v>3</v>
      </c>
      <c r="F19" s="179">
        <v>4</v>
      </c>
      <c r="G19" s="180">
        <v>5</v>
      </c>
      <c r="H19" s="179">
        <v>6</v>
      </c>
      <c r="I19" s="179">
        <v>7</v>
      </c>
      <c r="J19" s="179">
        <v>8</v>
      </c>
      <c r="K19" s="179">
        <v>9</v>
      </c>
      <c r="L19" s="180">
        <v>10</v>
      </c>
      <c r="M19" s="179">
        <v>11</v>
      </c>
      <c r="N19" s="179">
        <v>12</v>
      </c>
      <c r="O19" s="179">
        <v>13</v>
      </c>
      <c r="P19" s="179">
        <v>14</v>
      </c>
      <c r="Q19" s="180">
        <v>15</v>
      </c>
      <c r="R19" s="179">
        <v>16</v>
      </c>
      <c r="S19" s="179">
        <v>17</v>
      </c>
      <c r="T19" s="179">
        <v>18</v>
      </c>
      <c r="U19" s="179">
        <v>19</v>
      </c>
      <c r="V19" s="181">
        <v>20</v>
      </c>
    </row>
    <row r="20" spans="1:28" s="115" customFormat="1" ht="14.45" x14ac:dyDescent="0.3">
      <c r="B20" s="240" t="s">
        <v>27</v>
      </c>
      <c r="C20" s="241">
        <f>IF(Wirtschaftlichkeit!G12=0,500,Wirtschaftlichkeit!G99)</f>
        <v>47.581538260011364</v>
      </c>
      <c r="D20" s="242">
        <f>IF(Wirtschaftlichkeit!H12=0,500,Wirtschaftlichkeit!H99)</f>
        <v>13.257534684815816</v>
      </c>
      <c r="E20" s="242">
        <f>IF(Wirtschaftlichkeit!I12=0,500,Wirtschaftlichkeit!I99)</f>
        <v>10.520775161587073</v>
      </c>
      <c r="F20" s="242">
        <f>IF(Wirtschaftlichkeit!J12=0,500,Wirtschaftlichkeit!J99)</f>
        <v>9.1045662397634093</v>
      </c>
      <c r="G20" s="242">
        <f>IF(Wirtschaftlichkeit!K12=0,500,Wirtschaftlichkeit!K99)</f>
        <v>8.3098827506710933</v>
      </c>
      <c r="H20" s="242">
        <f>IF(Wirtschaftlichkeit!L12=0,500,Wirtschaftlichkeit!L99)</f>
        <v>8.0185758916512082</v>
      </c>
      <c r="I20" s="242">
        <f>IF(Wirtschaftlichkeit!M12=0,500,Wirtschaftlichkeit!M99)</f>
        <v>7.4998584790651455</v>
      </c>
      <c r="J20" s="242">
        <f>IF(Wirtschaftlichkeit!N12=0,500,Wirtschaftlichkeit!N99)</f>
        <v>6.8664784891660595</v>
      </c>
      <c r="K20" s="242">
        <f>IF(Wirtschaftlichkeit!O12=0,500,Wirtschaftlichkeit!O99)</f>
        <v>6.4039410492466811</v>
      </c>
      <c r="L20" s="242">
        <f>IF(Wirtschaftlichkeit!P12=0,500,Wirtschaftlichkeit!P99)</f>
        <v>6.5044789848368252</v>
      </c>
      <c r="M20" s="242">
        <f>IF(Wirtschaftlichkeit!Q12=0,500,Wirtschaftlichkeit!Q99)</f>
        <v>6.6353570058788049</v>
      </c>
      <c r="N20" s="242">
        <f>IF(Wirtschaftlichkeit!R12=0,500,Wirtschaftlichkeit!R99)</f>
        <v>6.8903402304511658</v>
      </c>
      <c r="O20" s="242">
        <f>IF(Wirtschaftlichkeit!S12=0,500,Wirtschaftlichkeit!S99)</f>
        <v>7.0104561751259604</v>
      </c>
      <c r="P20" s="242">
        <f>IF(Wirtschaftlichkeit!T12=0,500,Wirtschaftlichkeit!T99)</f>
        <v>7.1254016318034328</v>
      </c>
      <c r="Q20" s="242">
        <f>IF(Wirtschaftlichkeit!U12=0,500,Wirtschaftlichkeit!U99)</f>
        <v>7.2368507458496678</v>
      </c>
      <c r="R20" s="242">
        <f>IF(Wirtschaftlichkeit!V12=0,500,Wirtschaftlichkeit!V99)</f>
        <v>7.3461573220032799</v>
      </c>
      <c r="S20" s="242">
        <f>IF(Wirtschaftlichkeit!W12=0,500,Wirtschaftlichkeit!W99)</f>
        <v>7.7737628902350053</v>
      </c>
      <c r="T20" s="242">
        <f>IF(Wirtschaftlichkeit!X12=0,500,Wirtschaftlichkeit!X99)</f>
        <v>8.0918649156207909</v>
      </c>
      <c r="U20" s="242">
        <f>IF(Wirtschaftlichkeit!Y12=0,500,Wirtschaftlichkeit!Y99)</f>
        <v>8.2785695282852263</v>
      </c>
      <c r="V20" s="243">
        <f>IF(Wirtschaftlichkeit!Z12=0,500,Wirtschaftlichkeit!Z99)</f>
        <v>8.3892495188798613</v>
      </c>
    </row>
    <row r="21" spans="1:28" s="228" customFormat="1" ht="14.45" x14ac:dyDescent="0.3">
      <c r="B21" s="231" t="s">
        <v>27</v>
      </c>
      <c r="C21" s="244">
        <f>IF(C20&lt;0,100,C20)</f>
        <v>47.581538260011364</v>
      </c>
      <c r="D21" s="245">
        <f t="shared" ref="D21:V21" si="1">IF(D20&lt;0,100,D20)</f>
        <v>13.257534684815816</v>
      </c>
      <c r="E21" s="245">
        <f t="shared" si="1"/>
        <v>10.520775161587073</v>
      </c>
      <c r="F21" s="245">
        <f t="shared" si="1"/>
        <v>9.1045662397634093</v>
      </c>
      <c r="G21" s="245">
        <f t="shared" si="1"/>
        <v>8.3098827506710933</v>
      </c>
      <c r="H21" s="245">
        <f t="shared" si="1"/>
        <v>8.0185758916512082</v>
      </c>
      <c r="I21" s="245">
        <f t="shared" si="1"/>
        <v>7.4998584790651455</v>
      </c>
      <c r="J21" s="245">
        <f t="shared" si="1"/>
        <v>6.8664784891660595</v>
      </c>
      <c r="K21" s="245">
        <f t="shared" si="1"/>
        <v>6.4039410492466811</v>
      </c>
      <c r="L21" s="245">
        <f t="shared" si="1"/>
        <v>6.5044789848368252</v>
      </c>
      <c r="M21" s="245">
        <f t="shared" si="1"/>
        <v>6.6353570058788049</v>
      </c>
      <c r="N21" s="245">
        <f t="shared" si="1"/>
        <v>6.8903402304511658</v>
      </c>
      <c r="O21" s="245">
        <f t="shared" si="1"/>
        <v>7.0104561751259604</v>
      </c>
      <c r="P21" s="245">
        <f t="shared" si="1"/>
        <v>7.1254016318034328</v>
      </c>
      <c r="Q21" s="245">
        <f t="shared" si="1"/>
        <v>7.2368507458496678</v>
      </c>
      <c r="R21" s="245">
        <f t="shared" si="1"/>
        <v>7.3461573220032799</v>
      </c>
      <c r="S21" s="245">
        <f t="shared" si="1"/>
        <v>7.7737628902350053</v>
      </c>
      <c r="T21" s="245">
        <f t="shared" si="1"/>
        <v>8.0918649156207909</v>
      </c>
      <c r="U21" s="245">
        <f t="shared" si="1"/>
        <v>8.2785695282852263</v>
      </c>
      <c r="V21" s="246">
        <f t="shared" si="1"/>
        <v>8.3892495188798613</v>
      </c>
    </row>
    <row r="22" spans="1:28" s="161" customFormat="1" ht="14.45" x14ac:dyDescent="0.3">
      <c r="A22" s="115"/>
      <c r="B22" s="166"/>
      <c r="C22" s="170"/>
      <c r="D22" s="170"/>
      <c r="E22" s="170"/>
      <c r="F22" s="170"/>
      <c r="G22" s="170"/>
      <c r="H22" s="170"/>
      <c r="I22" s="170"/>
      <c r="J22" s="170"/>
      <c r="K22" s="170"/>
      <c r="L22" s="170"/>
      <c r="M22" s="170"/>
      <c r="N22" s="170"/>
      <c r="O22" s="170"/>
      <c r="P22" s="170"/>
      <c r="Q22" s="170"/>
      <c r="R22" s="170"/>
      <c r="S22" s="170"/>
      <c r="T22" s="170"/>
      <c r="U22" s="170"/>
      <c r="V22" s="170"/>
    </row>
    <row r="23" spans="1:28" s="208" customFormat="1" ht="14.45" x14ac:dyDescent="0.3">
      <c r="A23" s="228"/>
      <c r="B23" s="229" t="s">
        <v>27</v>
      </c>
      <c r="C23" s="268">
        <f t="shared" ref="C23:V23" si="2">C21</f>
        <v>47.581538260011364</v>
      </c>
      <c r="D23" s="268">
        <f t="shared" si="2"/>
        <v>13.257534684815816</v>
      </c>
      <c r="E23" s="268">
        <f t="shared" si="2"/>
        <v>10.520775161587073</v>
      </c>
      <c r="F23" s="268">
        <f t="shared" si="2"/>
        <v>9.1045662397634093</v>
      </c>
      <c r="G23" s="268">
        <f t="shared" si="2"/>
        <v>8.3098827506710933</v>
      </c>
      <c r="H23" s="268">
        <f t="shared" si="2"/>
        <v>8.0185758916512082</v>
      </c>
      <c r="I23" s="268">
        <f t="shared" si="2"/>
        <v>7.4998584790651455</v>
      </c>
      <c r="J23" s="268">
        <f t="shared" si="2"/>
        <v>6.8664784891660595</v>
      </c>
      <c r="K23" s="268">
        <f t="shared" si="2"/>
        <v>6.4039410492466811</v>
      </c>
      <c r="L23" s="268">
        <f t="shared" si="2"/>
        <v>6.5044789848368252</v>
      </c>
      <c r="M23" s="268">
        <f t="shared" si="2"/>
        <v>6.6353570058788049</v>
      </c>
      <c r="N23" s="268">
        <f t="shared" si="2"/>
        <v>6.8903402304511658</v>
      </c>
      <c r="O23" s="268">
        <f t="shared" si="2"/>
        <v>7.0104561751259604</v>
      </c>
      <c r="P23" s="268">
        <f t="shared" si="2"/>
        <v>7.1254016318034328</v>
      </c>
      <c r="Q23" s="268">
        <f t="shared" si="2"/>
        <v>7.2368507458496678</v>
      </c>
      <c r="R23" s="268">
        <f t="shared" si="2"/>
        <v>7.3461573220032799</v>
      </c>
      <c r="S23" s="268">
        <f t="shared" si="2"/>
        <v>7.7737628902350053</v>
      </c>
      <c r="T23" s="268">
        <f t="shared" si="2"/>
        <v>8.0918649156207909</v>
      </c>
      <c r="U23" s="268">
        <f t="shared" si="2"/>
        <v>8.2785695282852263</v>
      </c>
      <c r="V23" s="141">
        <f t="shared" si="2"/>
        <v>8.3892495188798613</v>
      </c>
    </row>
    <row r="24" spans="1:28" s="252" customFormat="1" ht="14.45" x14ac:dyDescent="0.3">
      <c r="A24" s="261"/>
      <c r="B24" s="267" t="s">
        <v>171</v>
      </c>
      <c r="C24" s="254">
        <f>Wirtschaftlichkeit!G8</f>
        <v>2.8333333333333335</v>
      </c>
      <c r="D24" s="254">
        <f>Wirtschaftlichkeit!H8</f>
        <v>5.5876288659793811</v>
      </c>
      <c r="E24" s="254">
        <f>Wirtschaftlichkeit!I8</f>
        <v>8.2471643149712612</v>
      </c>
      <c r="F24" s="254">
        <f>Wirtschaftlichkeit!J8</f>
        <v>10.537455322965799</v>
      </c>
      <c r="G24" s="254">
        <f>Wirtschaftlichkeit!K8</f>
        <v>12.739122166763016</v>
      </c>
      <c r="H24" s="254">
        <f>Wirtschaftlichkeit!L8</f>
        <v>14.87189090675227</v>
      </c>
      <c r="I24" s="254">
        <f>Wirtschaftlichkeit!M8</f>
        <v>16.948500863015312</v>
      </c>
      <c r="J24" s="254">
        <f>Wirtschaftlichkeit!N8</f>
        <v>18.977838419132468</v>
      </c>
      <c r="K24" s="254">
        <f>Wirtschaftlichkeit!O8</f>
        <v>20.966443256074175</v>
      </c>
      <c r="L24" s="254">
        <f>Wirtschaftlichkeit!P8</f>
        <v>22.919321908846374</v>
      </c>
      <c r="M24" s="254">
        <f>Wirtschaftlichkeit!Q8</f>
        <v>24.024318379562782</v>
      </c>
      <c r="N24" s="254">
        <f>Wirtschaftlichkeit!R8</f>
        <v>25.866788458563068</v>
      </c>
      <c r="O24" s="254">
        <f>Wirtschaftlichkeit!S8</f>
        <v>27.684888524964244</v>
      </c>
      <c r="P24" s="254">
        <f>Wirtschaftlichkeit!T8</f>
        <v>29.480682700715832</v>
      </c>
      <c r="Q24" s="254">
        <f>Wirtschaftlichkeit!U8</f>
        <v>31.255925319454747</v>
      </c>
      <c r="R24" s="254">
        <f>Wirtschaftlichkeit!V8</f>
        <v>33.012125002158918</v>
      </c>
      <c r="S24" s="254">
        <f>Wirtschaftlichkeit!W8</f>
        <v>34.750592293696187</v>
      </c>
      <c r="T24" s="254">
        <f>Wirtschaftlichkeit!X8</f>
        <v>36.472475799734788</v>
      </c>
      <c r="U24" s="254">
        <f>Wirtschaftlichkeit!Y8</f>
        <v>38.178790086372757</v>
      </c>
      <c r="V24" s="255">
        <f>Wirtschaftlichkeit!Z8</f>
        <v>39.870437555814682</v>
      </c>
    </row>
    <row r="25" spans="1:28" s="208" customFormat="1" ht="14.45" x14ac:dyDescent="0.3">
      <c r="A25" s="228"/>
      <c r="B25" s="231" t="s">
        <v>165</v>
      </c>
      <c r="C25" s="248">
        <v>1</v>
      </c>
      <c r="D25" s="247">
        <v>2</v>
      </c>
      <c r="E25" s="247">
        <v>3</v>
      </c>
      <c r="F25" s="247">
        <v>4</v>
      </c>
      <c r="G25" s="248">
        <v>5</v>
      </c>
      <c r="H25" s="247">
        <v>6</v>
      </c>
      <c r="I25" s="247">
        <v>7</v>
      </c>
      <c r="J25" s="247">
        <v>8</v>
      </c>
      <c r="K25" s="247">
        <v>9</v>
      </c>
      <c r="L25" s="248">
        <v>10</v>
      </c>
      <c r="M25" s="247">
        <v>11</v>
      </c>
      <c r="N25" s="247">
        <v>12</v>
      </c>
      <c r="O25" s="247">
        <v>13</v>
      </c>
      <c r="P25" s="247">
        <v>14</v>
      </c>
      <c r="Q25" s="248">
        <v>15</v>
      </c>
      <c r="R25" s="247">
        <v>16</v>
      </c>
      <c r="S25" s="247">
        <v>17</v>
      </c>
      <c r="T25" s="247">
        <v>18</v>
      </c>
      <c r="U25" s="247">
        <v>19</v>
      </c>
      <c r="V25" s="249">
        <v>20</v>
      </c>
    </row>
    <row r="26" spans="1:28" s="208" customFormat="1" ht="14.45" x14ac:dyDescent="0.3">
      <c r="A26" s="228"/>
      <c r="B26" s="216"/>
      <c r="C26" s="218"/>
      <c r="D26" s="218"/>
      <c r="E26" s="218"/>
      <c r="F26" s="218"/>
      <c r="G26" s="218"/>
      <c r="H26" s="218"/>
      <c r="I26" s="218"/>
      <c r="J26" s="218"/>
      <c r="K26" s="218"/>
      <c r="L26" s="218"/>
      <c r="M26" s="218"/>
      <c r="N26" s="218"/>
      <c r="O26" s="218"/>
      <c r="P26" s="218"/>
      <c r="Q26" s="218"/>
      <c r="R26" s="218"/>
      <c r="S26" s="218"/>
      <c r="T26" s="218"/>
      <c r="U26" s="218"/>
      <c r="V26" s="218"/>
    </row>
    <row r="27" spans="1:28" s="208" customFormat="1" ht="14.45" x14ac:dyDescent="0.3">
      <c r="A27" s="228"/>
      <c r="B27" s="262" t="s">
        <v>133</v>
      </c>
      <c r="C27" s="141">
        <f>MIN(C23:V23)</f>
        <v>6.4039410492466811</v>
      </c>
      <c r="D27" s="218"/>
      <c r="E27" s="218"/>
      <c r="F27" s="218"/>
      <c r="G27" s="218"/>
      <c r="H27" s="218"/>
      <c r="I27" s="218"/>
      <c r="J27" s="218"/>
      <c r="K27" s="218"/>
      <c r="L27" s="218"/>
      <c r="M27" s="218"/>
      <c r="N27" s="218"/>
      <c r="O27" s="218"/>
      <c r="P27" s="218"/>
      <c r="Q27" s="218"/>
      <c r="R27" s="218"/>
      <c r="S27" s="218"/>
      <c r="T27" s="218"/>
      <c r="U27" s="218"/>
      <c r="V27" s="218"/>
    </row>
    <row r="28" spans="1:28" s="161" customFormat="1" ht="14.45" x14ac:dyDescent="0.3">
      <c r="A28" s="115"/>
      <c r="B28" s="267" t="s">
        <v>163</v>
      </c>
      <c r="C28" s="255">
        <f>HLOOKUP(C27,C23:V25,3,)</f>
        <v>9</v>
      </c>
      <c r="D28" s="170"/>
      <c r="E28" s="170"/>
      <c r="F28" s="170"/>
      <c r="G28" s="170"/>
      <c r="H28" s="170"/>
      <c r="I28" s="170"/>
      <c r="J28" s="170"/>
      <c r="K28" s="170"/>
      <c r="L28" s="170"/>
      <c r="M28" s="170"/>
      <c r="N28" s="170"/>
      <c r="O28" s="170"/>
      <c r="P28" s="170"/>
      <c r="Q28" s="170"/>
      <c r="R28" s="170"/>
      <c r="S28" s="170"/>
      <c r="T28" s="170"/>
      <c r="U28" s="170"/>
      <c r="V28" s="170"/>
    </row>
    <row r="29" spans="1:28" ht="14.45" x14ac:dyDescent="0.3">
      <c r="B29" s="263" t="s">
        <v>171</v>
      </c>
      <c r="C29" s="256">
        <f>HLOOKUP(C27,C23:V25,2,)</f>
        <v>20.966443256074175</v>
      </c>
    </row>
    <row r="30" spans="1:28" s="161" customFormat="1" ht="14.45" x14ac:dyDescent="0.3">
      <c r="A30" s="115"/>
      <c r="B30" s="166"/>
      <c r="C30" s="168"/>
    </row>
    <row r="31" spans="1:28" s="161" customFormat="1" ht="14.45" x14ac:dyDescent="0.3">
      <c r="A31" s="115"/>
      <c r="B31" s="184" t="s">
        <v>101</v>
      </c>
      <c r="C31" s="127">
        <f>Wirtschaftlichkeit!G78</f>
        <v>2.9791705198945411</v>
      </c>
      <c r="D31" s="127">
        <f>Wirtschaftlichkeit!H78</f>
        <v>3.4745273948265591</v>
      </c>
      <c r="E31" s="127">
        <f>Wirtschaftlichkeit!I78</f>
        <v>3.8564638410842456</v>
      </c>
      <c r="F31" s="127">
        <f>Wirtschaftlichkeit!J78</f>
        <v>4.1523186407424388</v>
      </c>
      <c r="G31" s="127">
        <f>Wirtschaftlichkeit!K78</f>
        <v>4.4431132644910321</v>
      </c>
      <c r="H31" s="127">
        <f>Wirtschaftlichkeit!L78</f>
        <v>5.0340893328831449</v>
      </c>
      <c r="I31" s="127">
        <f>Wirtschaftlichkeit!M78</f>
        <v>5.4667122980354073</v>
      </c>
      <c r="J31" s="127">
        <f>Wirtschaftlichkeit!N78</f>
        <v>5.8719522361585454</v>
      </c>
      <c r="K31" s="127">
        <f>Wirtschaftlichkeit!O78</f>
        <v>6.3301073829195662</v>
      </c>
      <c r="L31" s="127">
        <f>Wirtschaftlichkeit!P78</f>
        <v>7.0479382036811797</v>
      </c>
      <c r="M31" s="127">
        <f>Wirtschaftlichkeit!Q78</f>
        <v>8.0104781592741592</v>
      </c>
      <c r="N31" s="127">
        <f>Wirtschaftlichkeit!R78</f>
        <v>9.1951136899064263</v>
      </c>
      <c r="O31" s="127">
        <f>Wirtschaftlichkeit!S78</f>
        <v>10.13412318497355</v>
      </c>
      <c r="P31" s="127">
        <f>Wirtschaftlichkeit!T78</f>
        <v>11.146116226390461</v>
      </c>
      <c r="Q31" s="127">
        <f>Wirtschaftlichkeit!U78</f>
        <v>12.245976875316941</v>
      </c>
      <c r="R31" s="127">
        <f>Wirtschaftlichkeit!V78</f>
        <v>13.451883825668515</v>
      </c>
      <c r="S31" s="127">
        <f>Wirtschaftlichkeit!W78</f>
        <v>16.625706160994788</v>
      </c>
      <c r="T31" s="127">
        <f>Wirtschaftlichkeit!X78</f>
        <v>20.017035580018156</v>
      </c>
      <c r="U31" s="127">
        <f>Wirtschaftlichkeit!Y78</f>
        <v>23.116233446328785</v>
      </c>
      <c r="V31" s="128">
        <f>Wirtschaftlichkeit!Z78</f>
        <v>26.012200844747674</v>
      </c>
    </row>
    <row r="32" spans="1:28" s="161" customFormat="1" ht="14.45" x14ac:dyDescent="0.3">
      <c r="A32" s="115"/>
      <c r="B32" s="185" t="s">
        <v>130</v>
      </c>
      <c r="C32" s="17">
        <f>Wirtschaftlichkeit!G79</f>
        <v>2.291666666666667</v>
      </c>
      <c r="D32" s="17">
        <f>Wirtschaftlichkeit!H79</f>
        <v>2.2680412371134024</v>
      </c>
      <c r="E32" s="17">
        <f>Wirtschaftlichkeit!I79</f>
        <v>2.2412827439254324</v>
      </c>
      <c r="F32" s="17">
        <f>Wirtschaftlichkeit!J79</f>
        <v>2.1727175075084757</v>
      </c>
      <c r="G32" s="17">
        <f>Wirtschaftlichkeit!K79</f>
        <v>2.1209819981999258</v>
      </c>
      <c r="H32" s="17">
        <f>Wirtschaftlichkeit!L79</f>
        <v>2.0796268113611864</v>
      </c>
      <c r="I32" s="17">
        <f>Wirtschaftlichkeit!M79</f>
        <v>2.0452912227730469</v>
      </c>
      <c r="J32" s="17">
        <f>Wirtschaftlichkeit!N79</f>
        <v>2.0160069470819098</v>
      </c>
      <c r="K32" s="17">
        <f>Wirtschaftlichkeit!O79</f>
        <v>1.9905246124203864</v>
      </c>
      <c r="L32" s="17">
        <f>Wirtschaftlichkeit!P79</f>
        <v>1.9680029402027726</v>
      </c>
      <c r="M32" s="17">
        <f>Wirtschaftlichkeit!Q79</f>
        <v>1.9034955641066731</v>
      </c>
      <c r="N32" s="17">
        <f>Wirtschaftlichkeit!R79</f>
        <v>1.8864794974827612</v>
      </c>
      <c r="O32" s="17">
        <f>Wirtschaftlichkeit!S79</f>
        <v>1.8709605927032056</v>
      </c>
      <c r="P32" s="17">
        <f>Wirtschaftlichkeit!T79</f>
        <v>1.8567061712262196</v>
      </c>
      <c r="Q32" s="17">
        <f>Wirtschaftlichkeit!U79</f>
        <v>1.8435332554855153</v>
      </c>
      <c r="R32" s="17">
        <f>Wirtschaftlichkeit!V79</f>
        <v>1.8312954314665357</v>
      </c>
      <c r="S32" s="17">
        <f>Wirtschaftlichkeit!W79</f>
        <v>1.8198737699189838</v>
      </c>
      <c r="T32" s="17">
        <f>Wirtschaftlichkeit!X79</f>
        <v>1.809170391899404</v>
      </c>
      <c r="U32" s="17">
        <f>Wirtschaftlichkeit!Y79</f>
        <v>1.7991038070655041</v>
      </c>
      <c r="V32" s="18">
        <f>Wirtschaftlichkeit!Z79</f>
        <v>1.7896054704183741</v>
      </c>
    </row>
    <row r="33" spans="1:22" s="161" customFormat="1" x14ac:dyDescent="0.25">
      <c r="A33" s="115"/>
      <c r="B33" s="186" t="s">
        <v>106</v>
      </c>
      <c r="C33" s="17">
        <f>Wirtschaftlichkeit!G80</f>
        <v>1.4175</v>
      </c>
      <c r="D33" s="17">
        <f>Wirtschaftlichkeit!H80</f>
        <v>1.4175</v>
      </c>
      <c r="E33" s="17">
        <f>Wirtschaftlichkeit!I80</f>
        <v>1.4175</v>
      </c>
      <c r="F33" s="17">
        <f>Wirtschaftlichkeit!J80</f>
        <v>1.4175</v>
      </c>
      <c r="G33" s="17">
        <f>Wirtschaftlichkeit!K80</f>
        <v>1.4175</v>
      </c>
      <c r="H33" s="17">
        <f>Wirtschaftlichkeit!L80</f>
        <v>1.4175</v>
      </c>
      <c r="I33" s="17">
        <f>Wirtschaftlichkeit!M80</f>
        <v>1.4175</v>
      </c>
      <c r="J33" s="17">
        <f>Wirtschaftlichkeit!N80</f>
        <v>1.4175</v>
      </c>
      <c r="K33" s="17">
        <f>Wirtschaftlichkeit!O80</f>
        <v>1.4175</v>
      </c>
      <c r="L33" s="17">
        <f>Wirtschaftlichkeit!P80</f>
        <v>1.4175</v>
      </c>
      <c r="M33" s="17">
        <f>Wirtschaftlichkeit!Q80</f>
        <v>1.4175</v>
      </c>
      <c r="N33" s="17">
        <f>Wirtschaftlichkeit!R80</f>
        <v>1.4175000000000002</v>
      </c>
      <c r="O33" s="17">
        <f>Wirtschaftlichkeit!S80</f>
        <v>1.4175</v>
      </c>
      <c r="P33" s="17">
        <f>Wirtschaftlichkeit!T80</f>
        <v>1.4175</v>
      </c>
      <c r="Q33" s="17">
        <f>Wirtschaftlichkeit!U80</f>
        <v>1.4175</v>
      </c>
      <c r="R33" s="17">
        <f>Wirtschaftlichkeit!V80</f>
        <v>1.4175</v>
      </c>
      <c r="S33" s="17">
        <f>Wirtschaftlichkeit!W80</f>
        <v>1.4175</v>
      </c>
      <c r="T33" s="17">
        <f>Wirtschaftlichkeit!X80</f>
        <v>1.4175</v>
      </c>
      <c r="U33" s="17">
        <f>Wirtschaftlichkeit!Y80</f>
        <v>1.4175</v>
      </c>
      <c r="V33" s="18">
        <f>Wirtschaftlichkeit!Z80</f>
        <v>1.4175000000000002</v>
      </c>
    </row>
    <row r="34" spans="1:22" s="161" customFormat="1" x14ac:dyDescent="0.25">
      <c r="A34" s="115"/>
      <c r="B34" s="186" t="s">
        <v>112</v>
      </c>
      <c r="C34" s="17">
        <f>Wirtschaftlichkeit!G81</f>
        <v>14.5</v>
      </c>
      <c r="D34" s="17">
        <f>Wirtschaftlichkeit!H81</f>
        <v>14.499999999999998</v>
      </c>
      <c r="E34" s="17">
        <f>Wirtschaftlichkeit!I81</f>
        <v>14.499999999999998</v>
      </c>
      <c r="F34" s="17">
        <f>Wirtschaftlichkeit!J81</f>
        <v>14.499999999999996</v>
      </c>
      <c r="G34" s="17">
        <f>Wirtschaftlichkeit!K81</f>
        <v>14.5</v>
      </c>
      <c r="H34" s="17">
        <f>Wirtschaftlichkeit!L81</f>
        <v>14.499999999999996</v>
      </c>
      <c r="I34" s="17">
        <f>Wirtschaftlichkeit!M81</f>
        <v>14.5</v>
      </c>
      <c r="J34" s="17">
        <f>Wirtschaftlichkeit!N81</f>
        <v>14.5</v>
      </c>
      <c r="K34" s="17">
        <f>Wirtschaftlichkeit!O81</f>
        <v>14.499999999999998</v>
      </c>
      <c r="L34" s="17">
        <f>Wirtschaftlichkeit!P81</f>
        <v>14.499999999999998</v>
      </c>
      <c r="M34" s="17">
        <f>Wirtschaftlichkeit!Q81</f>
        <v>14.5</v>
      </c>
      <c r="N34" s="17">
        <f>Wirtschaftlichkeit!R81</f>
        <v>14.5</v>
      </c>
      <c r="O34" s="17">
        <f>Wirtschaftlichkeit!S81</f>
        <v>14.499999999999998</v>
      </c>
      <c r="P34" s="17">
        <f>Wirtschaftlichkeit!T81</f>
        <v>14.499999999999998</v>
      </c>
      <c r="Q34" s="17">
        <f>Wirtschaftlichkeit!U81</f>
        <v>14.499999999999996</v>
      </c>
      <c r="R34" s="17">
        <f>Wirtschaftlichkeit!V81</f>
        <v>14.5</v>
      </c>
      <c r="S34" s="17">
        <f>Wirtschaftlichkeit!W81</f>
        <v>14.5</v>
      </c>
      <c r="T34" s="17">
        <f>Wirtschaftlichkeit!X81</f>
        <v>14.5</v>
      </c>
      <c r="U34" s="17">
        <f>Wirtschaftlichkeit!Y81</f>
        <v>14.5</v>
      </c>
      <c r="V34" s="18">
        <f>Wirtschaftlichkeit!Z81</f>
        <v>14.5</v>
      </c>
    </row>
    <row r="35" spans="1:22" s="161" customFormat="1" ht="14.45" x14ac:dyDescent="0.3">
      <c r="A35" s="115"/>
      <c r="B35" s="186" t="s">
        <v>131</v>
      </c>
      <c r="C35" s="17">
        <f>Wirtschaftlichkeit!G82</f>
        <v>0.49999999999999994</v>
      </c>
      <c r="D35" s="17">
        <f>Wirtschaftlichkeit!H82</f>
        <v>0.5</v>
      </c>
      <c r="E35" s="17">
        <f>Wirtschaftlichkeit!I82</f>
        <v>0.5</v>
      </c>
      <c r="F35" s="17">
        <f>Wirtschaftlichkeit!J82</f>
        <v>0.5</v>
      </c>
      <c r="G35" s="17">
        <f>Wirtschaftlichkeit!K82</f>
        <v>0.5</v>
      </c>
      <c r="H35" s="17">
        <f>Wirtschaftlichkeit!L82</f>
        <v>0.5</v>
      </c>
      <c r="I35" s="17">
        <f>Wirtschaftlichkeit!M82</f>
        <v>0.5</v>
      </c>
      <c r="J35" s="17">
        <f>Wirtschaftlichkeit!N82</f>
        <v>0.5</v>
      </c>
      <c r="K35" s="17">
        <f>Wirtschaftlichkeit!O82</f>
        <v>0.5</v>
      </c>
      <c r="L35" s="17">
        <f>Wirtschaftlichkeit!P82</f>
        <v>0.5</v>
      </c>
      <c r="M35" s="17">
        <f>Wirtschaftlichkeit!Q82</f>
        <v>0.5</v>
      </c>
      <c r="N35" s="17">
        <f>Wirtschaftlichkeit!R82</f>
        <v>0.5</v>
      </c>
      <c r="O35" s="17">
        <f>Wirtschaftlichkeit!S82</f>
        <v>0.5</v>
      </c>
      <c r="P35" s="17">
        <f>Wirtschaftlichkeit!T82</f>
        <v>0.5</v>
      </c>
      <c r="Q35" s="17">
        <f>Wirtschaftlichkeit!U82</f>
        <v>0.5</v>
      </c>
      <c r="R35" s="17">
        <f>Wirtschaftlichkeit!V82</f>
        <v>0.5</v>
      </c>
      <c r="S35" s="17">
        <f>Wirtschaftlichkeit!W82</f>
        <v>0.5</v>
      </c>
      <c r="T35" s="17">
        <f>Wirtschaftlichkeit!X82</f>
        <v>0.5</v>
      </c>
      <c r="U35" s="17">
        <f>Wirtschaftlichkeit!Y82</f>
        <v>0.5</v>
      </c>
      <c r="V35" s="18">
        <f>Wirtschaftlichkeit!Z82</f>
        <v>0.5</v>
      </c>
    </row>
    <row r="36" spans="1:22" s="161" customFormat="1" x14ac:dyDescent="0.25">
      <c r="A36" s="115"/>
      <c r="B36" s="187" t="s">
        <v>0</v>
      </c>
      <c r="C36" s="44">
        <f>Wirtschaftlichkeit!G83</f>
        <v>10.200000000000001</v>
      </c>
      <c r="D36" s="44">
        <f>Wirtschaftlichkeit!H83</f>
        <v>10.057731958762888</v>
      </c>
      <c r="E36" s="44">
        <f>Wirtschaftlichkeit!I83</f>
        <v>9.8965971779655142</v>
      </c>
      <c r="F36" s="44">
        <f>Wirtschaftlichkeit!J83</f>
        <v>9.4837097906692236</v>
      </c>
      <c r="G36" s="44">
        <f>Wirtschaftlichkeit!K83</f>
        <v>9.1721679600693733</v>
      </c>
      <c r="H36" s="44">
        <f>Wirtschaftlichkeit!L83</f>
        <v>8.9231345440513632</v>
      </c>
      <c r="I36" s="44">
        <f>Wirtschaftlichkeit!M83</f>
        <v>8.7163718724078745</v>
      </c>
      <c r="J36" s="44">
        <f>Wirtschaftlichkeit!N83</f>
        <v>8.5400272886096129</v>
      </c>
      <c r="K36" s="44">
        <f>Wirtschaftlichkeit!O83</f>
        <v>8.3865773024296697</v>
      </c>
      <c r="L36" s="44">
        <f>Wirtschaftlichkeit!P83</f>
        <v>8.2509558871846966</v>
      </c>
      <c r="M36" s="44">
        <f>Wirtschaftlichkeit!Q83</f>
        <v>7.8625041969478211</v>
      </c>
      <c r="N36" s="44">
        <f>Wirtschaftlichkeit!R83</f>
        <v>7.7600365375689195</v>
      </c>
      <c r="O36" s="44">
        <f>Wirtschaftlichkeit!S83</f>
        <v>7.6665845146054847</v>
      </c>
      <c r="P36" s="44">
        <f>Wirtschaftlichkeit!T83</f>
        <v>7.5807469801840712</v>
      </c>
      <c r="Q36" s="44">
        <f>Wirtschaftlichkeit!U83</f>
        <v>7.5014220766691393</v>
      </c>
      <c r="R36" s="44">
        <f>Wirtschaftlichkeit!V83</f>
        <v>7.4277281254857579</v>
      </c>
      <c r="S36" s="44">
        <f>Wirtschaftlichkeit!W83</f>
        <v>7.3589489563121351</v>
      </c>
      <c r="T36" s="44">
        <f>Wirtschaftlichkeit!X83</f>
        <v>7.2944951599469574</v>
      </c>
      <c r="U36" s="44">
        <f>Wirtschaftlichkeit!Y83</f>
        <v>7.2338760163653646</v>
      </c>
      <c r="V36" s="52">
        <f>Wirtschaftlichkeit!Z83</f>
        <v>7.1766787600466442</v>
      </c>
    </row>
    <row r="37" spans="1:22" s="161" customFormat="1" ht="14.45" x14ac:dyDescent="0.3">
      <c r="A37" s="115"/>
      <c r="B37"/>
      <c r="C37"/>
      <c r="D37"/>
      <c r="E37"/>
      <c r="F37"/>
      <c r="G37"/>
      <c r="H37"/>
      <c r="I37"/>
      <c r="J37"/>
      <c r="K37"/>
      <c r="L37"/>
      <c r="M37"/>
      <c r="N37"/>
      <c r="O37"/>
      <c r="P37"/>
      <c r="Q37"/>
      <c r="R37"/>
      <c r="S37"/>
      <c r="T37"/>
      <c r="U37"/>
      <c r="V37"/>
    </row>
    <row r="38" spans="1:22" s="161" customFormat="1" ht="14.45" x14ac:dyDescent="0.3">
      <c r="A38" s="115"/>
      <c r="B38" s="188" t="s">
        <v>116</v>
      </c>
      <c r="C38" s="129">
        <f>-Wirtschaftlichkeit!G88</f>
        <v>-18.45</v>
      </c>
      <c r="D38" s="69">
        <f>-Wirtschaftlichkeit!H88</f>
        <v>-16.494845360824744</v>
      </c>
      <c r="E38" s="69">
        <f>-Wirtschaftlichkeit!I88</f>
        <v>-16.300238137639507</v>
      </c>
      <c r="F38" s="69">
        <f>-Wirtschaftlichkeit!J88</f>
        <v>-15.801581872788914</v>
      </c>
      <c r="G38" s="69">
        <f>-Wirtschaftlichkeit!K88</f>
        <v>-15.425323623272186</v>
      </c>
      <c r="H38" s="69">
        <f>-Wirtschaftlichkeit!L88</f>
        <v>-15.124558628081354</v>
      </c>
      <c r="I38" s="69">
        <f>-Wirtschaftlichkeit!M88</f>
        <v>-14.874845256531248</v>
      </c>
      <c r="J38" s="69">
        <f>-Wirtschaftlichkeit!N88</f>
        <v>-14.661868706050251</v>
      </c>
      <c r="K38" s="69">
        <f>-Wirtschaftlichkeit!O88</f>
        <v>-14.476542635784627</v>
      </c>
      <c r="L38" s="69">
        <f>-Wirtschaftlichkeit!P88</f>
        <v>-14.312748656020165</v>
      </c>
      <c r="M38" s="69">
        <f>-Wirtschaftlichkeit!Q88</f>
        <v>-13.843604102593984</v>
      </c>
      <c r="N38" s="69">
        <f>-Wirtschaftlichkeit!R88</f>
        <v>-13.719850890783718</v>
      </c>
      <c r="O38" s="69">
        <f>-Wirtschaftlichkeit!S88</f>
        <v>-13.606986128750584</v>
      </c>
      <c r="P38" s="69">
        <f>-Wirtschaftlichkeit!T88</f>
        <v>-13.503317608917959</v>
      </c>
      <c r="Q38" s="69">
        <f>-Wirtschaftlichkeit!U88</f>
        <v>-13.407514585349201</v>
      </c>
      <c r="R38" s="69">
        <f>-Wirtschaftlichkeit!V88</f>
        <v>-13.318512228847533</v>
      </c>
      <c r="S38" s="69">
        <f>-Wirtschaftlichkeit!W88</f>
        <v>-13.235445599410788</v>
      </c>
      <c r="T38" s="69">
        <f>-Wirtschaftlichkeit!X88</f>
        <v>-13.157602850177483</v>
      </c>
      <c r="U38" s="69">
        <f>-Wirtschaftlichkeit!Y88</f>
        <v>-13.084391324112758</v>
      </c>
      <c r="V38" s="70">
        <f>-Wirtschaftlichkeit!Z88</f>
        <v>-13.015312512133628</v>
      </c>
    </row>
    <row r="39" spans="1:22" s="161" customFormat="1" ht="14.45" x14ac:dyDescent="0.3">
      <c r="A39" s="115"/>
      <c r="B39" s="189" t="s">
        <v>38</v>
      </c>
      <c r="C39" s="130">
        <f>-Wirtschaftlichkeit!G89</f>
        <v>-8</v>
      </c>
      <c r="D39" s="43">
        <f>-Wirtschaftlichkeit!H89</f>
        <v>-5.60563413714923</v>
      </c>
      <c r="E39" s="43">
        <f>-Wirtschaftlichkeit!I89</f>
        <v>-5.0652622378317815</v>
      </c>
      <c r="F39" s="43">
        <f>-Wirtschaftlichkeit!J89</f>
        <v>-4.7137576511526378</v>
      </c>
      <c r="G39" s="43">
        <f>-Wirtschaftlichkeit!K89</f>
        <v>-4.4579967454521228</v>
      </c>
      <c r="H39" s="43">
        <f>-Wirtschaftlichkeit!L89</f>
        <v>-4.2593608581127533</v>
      </c>
      <c r="I39" s="43">
        <f>-Wirtschaftlichkeit!M89</f>
        <v>-4.0983376724928933</v>
      </c>
      <c r="J39" s="43">
        <f>-Wirtschaftlichkeit!N89</f>
        <v>-3.9637819112290225</v>
      </c>
      <c r="K39" s="43">
        <f>-Wirtschaftlichkeit!O89</f>
        <v>-3.8487670054880363</v>
      </c>
      <c r="L39" s="43">
        <f>-Wirtschaftlichkeit!P89</f>
        <v>-3.7487134824634158</v>
      </c>
      <c r="M39" s="43">
        <f>-Wirtschaftlichkeit!Q89</f>
        <v>-3.6604466109761247</v>
      </c>
      <c r="N39" s="43">
        <f>-Wirtschaftlichkeit!R89</f>
        <v>-3.5816812768590025</v>
      </c>
      <c r="O39" s="43">
        <f>-Wirtschaftlichkeit!S89</f>
        <v>-3.5107217518951219</v>
      </c>
      <c r="P39" s="43">
        <f>-Wirtschaftlichkeit!T89</f>
        <v>-3.4462774572985313</v>
      </c>
      <c r="Q39" s="43">
        <f>-Wirtschaftlichkeit!U89</f>
        <v>-3.3873450137131838</v>
      </c>
      <c r="R39" s="43">
        <f>-Wirtschaftlichkeit!V89</f>
        <v>-3.3331300000000001</v>
      </c>
      <c r="S39" s="43">
        <f>-Wirtschaftlichkeit!W89</f>
        <v>-3.2829934618850745</v>
      </c>
      <c r="T39" s="43">
        <f>-Wirtschaftlichkeit!X89</f>
        <v>-3.2364143780616592</v>
      </c>
      <c r="U39" s="43">
        <f>-Wirtschaftlichkeit!Y89</f>
        <v>-3.1929627203494864</v>
      </c>
      <c r="V39" s="51">
        <f>-Wirtschaftlichkeit!Z89</f>
        <v>-3.1522797292167564</v>
      </c>
    </row>
    <row r="40" spans="1:22" s="161" customFormat="1" ht="14.45" x14ac:dyDescent="0.3">
      <c r="A40" s="115"/>
      <c r="B40" s="190" t="s">
        <v>23</v>
      </c>
      <c r="C40" s="131">
        <f>-Wirtschaftlichkeit!G90</f>
        <v>0</v>
      </c>
      <c r="D40" s="104">
        <f>-Wirtschaftlichkeit!H90</f>
        <v>0</v>
      </c>
      <c r="E40" s="104">
        <f>-Wirtschaftlichkeit!I90</f>
        <v>0</v>
      </c>
      <c r="F40" s="104">
        <f>-Wirtschaftlichkeit!J90</f>
        <v>-0.17147363986343936</v>
      </c>
      <c r="G40" s="104">
        <f>-Wirtschaftlichkeit!K90</f>
        <v>-0.32974861058079952</v>
      </c>
      <c r="H40" s="104">
        <f>-Wirtschaftlichkeit!L90</f>
        <v>-0.38228323274612508</v>
      </c>
      <c r="I40" s="104">
        <f>-Wirtschaftlichkeit!M90</f>
        <v>-0.44376452519721488</v>
      </c>
      <c r="J40" s="104">
        <f>-Wirtschaftlichkeit!N90</f>
        <v>-0.49350032273851269</v>
      </c>
      <c r="K40" s="104">
        <f>-Wirtschaftlichkeit!O90</f>
        <v>-0.52595736460979781</v>
      </c>
      <c r="L40" s="104">
        <f>-Wirtschaftlichkeit!P90</f>
        <v>-1.2708000000000002</v>
      </c>
      <c r="M40" s="104">
        <f>-Wirtschaftlichkeit!Q90</f>
        <v>-1.2708000000000002</v>
      </c>
      <c r="N40" s="104">
        <f>-Wirtschaftlichkeit!R90</f>
        <v>-1.2708000000000002</v>
      </c>
      <c r="O40" s="104">
        <f>-Wirtschaftlichkeit!S90</f>
        <v>-1.2708000000000002</v>
      </c>
      <c r="P40" s="104">
        <f>-Wirtschaftlichkeit!T90</f>
        <v>-1.2708000000000002</v>
      </c>
      <c r="Q40" s="104">
        <f>-Wirtschaftlichkeit!U90</f>
        <v>-1.2708000000000002</v>
      </c>
      <c r="R40" s="104">
        <f>-Wirtschaftlichkeit!V90</f>
        <v>-1.2708000000000002</v>
      </c>
      <c r="S40" s="104">
        <f>-Wirtschaftlichkeit!W90</f>
        <v>-1.2708000000000004</v>
      </c>
      <c r="T40" s="104">
        <f>-Wirtschaftlichkeit!X90</f>
        <v>-1.2708000000000002</v>
      </c>
      <c r="U40" s="104">
        <f>-Wirtschaftlichkeit!Y90</f>
        <v>-1.2708000000000002</v>
      </c>
      <c r="V40" s="120">
        <f>-Wirtschaftlichkeit!Z90</f>
        <v>-1.2708000000000002</v>
      </c>
    </row>
    <row r="41" spans="1:22" s="161" customFormat="1" ht="14.45" x14ac:dyDescent="0.3">
      <c r="A41" s="115"/>
      <c r="B41"/>
      <c r="C41"/>
      <c r="D41"/>
      <c r="E41"/>
      <c r="F41"/>
      <c r="G41"/>
      <c r="H41"/>
      <c r="I41"/>
      <c r="J41"/>
      <c r="K41"/>
      <c r="L41"/>
      <c r="M41"/>
      <c r="N41"/>
      <c r="O41"/>
      <c r="P41"/>
      <c r="Q41"/>
      <c r="R41"/>
      <c r="S41"/>
      <c r="T41"/>
      <c r="U41"/>
      <c r="V41"/>
    </row>
    <row r="42" spans="1:22" s="161" customFormat="1" x14ac:dyDescent="0.25">
      <c r="A42" s="115"/>
      <c r="B42" s="194" t="s">
        <v>12</v>
      </c>
      <c r="C42" s="132">
        <f t="shared" ref="C42:V42" si="3">SUM(C31:C36)+SUM(C38:C40)</f>
        <v>5.4383371865612098</v>
      </c>
      <c r="D42" s="132">
        <f t="shared" si="3"/>
        <v>10.117321092728876</v>
      </c>
      <c r="E42" s="132">
        <f t="shared" si="3"/>
        <v>11.046343387503907</v>
      </c>
      <c r="F42" s="132">
        <f t="shared" si="3"/>
        <v>11.539432775115145</v>
      </c>
      <c r="G42" s="132">
        <f t="shared" si="3"/>
        <v>11.940694243455223</v>
      </c>
      <c r="H42" s="132">
        <f t="shared" si="3"/>
        <v>12.688147969355455</v>
      </c>
      <c r="I42" s="132">
        <f t="shared" si="3"/>
        <v>13.228927938994975</v>
      </c>
      <c r="J42" s="132">
        <f t="shared" si="3"/>
        <v>13.72633553183228</v>
      </c>
      <c r="K42" s="132">
        <f t="shared" si="3"/>
        <v>14.273442291887157</v>
      </c>
      <c r="L42" s="132">
        <f t="shared" si="3"/>
        <v>14.352134892585067</v>
      </c>
      <c r="M42" s="132">
        <f t="shared" si="3"/>
        <v>15.419127206758539</v>
      </c>
      <c r="N42" s="132">
        <f t="shared" si="3"/>
        <v>16.686797557315387</v>
      </c>
      <c r="O42" s="132">
        <f t="shared" si="3"/>
        <v>17.70066041163653</v>
      </c>
      <c r="P42" s="132">
        <f t="shared" si="3"/>
        <v>18.780674311584264</v>
      </c>
      <c r="Q42" s="132">
        <f t="shared" si="3"/>
        <v>19.942772608409207</v>
      </c>
      <c r="R42" s="132">
        <f t="shared" si="3"/>
        <v>21.205965153773274</v>
      </c>
      <c r="S42" s="132">
        <f t="shared" si="3"/>
        <v>24.43278982593004</v>
      </c>
      <c r="T42" s="132">
        <f t="shared" si="3"/>
        <v>27.873383903625374</v>
      </c>
      <c r="U42" s="132">
        <f t="shared" si="3"/>
        <v>31.018559225297409</v>
      </c>
      <c r="V42" s="133">
        <f t="shared" si="3"/>
        <v>33.957592833862307</v>
      </c>
    </row>
    <row r="43" spans="1:22" s="161" customFormat="1" x14ac:dyDescent="0.25">
      <c r="A43" s="115"/>
      <c r="B43" s="166"/>
      <c r="C43" s="168"/>
    </row>
    <row r="44" spans="1:22" s="161" customFormat="1" x14ac:dyDescent="0.25">
      <c r="A44" s="115"/>
      <c r="B44" s="166"/>
      <c r="C44" s="168"/>
    </row>
    <row r="45" spans="1:22" s="161" customFormat="1" x14ac:dyDescent="0.25">
      <c r="A45" s="115"/>
      <c r="B45" s="166"/>
    </row>
    <row r="46" spans="1:22" s="115" customFormat="1" x14ac:dyDescent="0.25">
      <c r="A46" s="136" t="s">
        <v>22</v>
      </c>
      <c r="B46" s="137"/>
      <c r="C46" s="138" t="str">
        <f>B3</f>
        <v>KWK-Zulage</v>
      </c>
      <c r="D46" s="139" t="str">
        <f>B4</f>
        <v>Energiesteuererleichterung</v>
      </c>
      <c r="E46" s="139" t="str">
        <f>B5</f>
        <v>Stromerlös durch Netzeinspeisung</v>
      </c>
      <c r="F46" s="139" t="str">
        <f>B6</f>
        <v>Stromerlös durch Eigenverbrauch</v>
      </c>
      <c r="G46" s="139" t="str">
        <f>B7</f>
        <v>vermiedene Netzentgelte</v>
      </c>
      <c r="H46" s="137" t="str">
        <f>B8</f>
        <v>Wärmegutschrift</v>
      </c>
      <c r="I46" s="139" t="str">
        <f>B10</f>
        <v>Brennstoffkosten</v>
      </c>
      <c r="J46" s="139" t="str">
        <f>B11</f>
        <v>Wartungskosten</v>
      </c>
      <c r="K46" s="137" t="str">
        <f>B12</f>
        <v>EEG Abgabe</v>
      </c>
      <c r="M46" s="163" t="s">
        <v>22</v>
      </c>
      <c r="N46" s="165" t="s">
        <v>11</v>
      </c>
      <c r="O46" s="165" t="s">
        <v>24</v>
      </c>
      <c r="P46" s="164" t="s">
        <v>12</v>
      </c>
    </row>
    <row r="47" spans="1:22" x14ac:dyDescent="0.25">
      <c r="A47" s="134">
        <v>1</v>
      </c>
      <c r="B47" s="53" t="s">
        <v>11</v>
      </c>
      <c r="C47" s="140">
        <f>C3</f>
        <v>2.9791705198945411</v>
      </c>
      <c r="D47" s="42">
        <f>C4</f>
        <v>2.291666666666667</v>
      </c>
      <c r="E47" s="42">
        <f>C5</f>
        <v>1.4175</v>
      </c>
      <c r="F47" s="42">
        <f>C6</f>
        <v>14.5</v>
      </c>
      <c r="G47" s="42">
        <f>C7</f>
        <v>0.49999999999999994</v>
      </c>
      <c r="H47" s="141">
        <f>C8</f>
        <v>10.200000000000001</v>
      </c>
      <c r="I47" s="142"/>
      <c r="J47" s="143"/>
      <c r="K47" s="144"/>
      <c r="M47" s="175">
        <v>1</v>
      </c>
      <c r="N47" s="176">
        <f>Wirtschaftlichkeit!$G$84</f>
        <v>31.888337186561209</v>
      </c>
      <c r="O47" s="176">
        <f>Wirtschaftlichkeit!$G$91</f>
        <v>26.45</v>
      </c>
      <c r="P47" s="158">
        <f>N47-O47</f>
        <v>5.4383371865612098</v>
      </c>
    </row>
    <row r="48" spans="1:22" x14ac:dyDescent="0.25">
      <c r="A48" s="135"/>
      <c r="B48" s="54" t="s">
        <v>24</v>
      </c>
      <c r="C48" s="145"/>
      <c r="D48" s="146"/>
      <c r="E48" s="146"/>
      <c r="F48" s="146"/>
      <c r="G48" s="146"/>
      <c r="H48" s="147"/>
      <c r="I48" s="148">
        <f>C10</f>
        <v>18.45</v>
      </c>
      <c r="J48" s="149">
        <f>C11</f>
        <v>8</v>
      </c>
      <c r="K48" s="150">
        <f>C12</f>
        <v>0</v>
      </c>
      <c r="M48" s="175">
        <v>2</v>
      </c>
      <c r="N48" s="176">
        <f>Wirtschaftlichkeit!$H$84</f>
        <v>32.217800590702851</v>
      </c>
      <c r="O48" s="176">
        <f>Wirtschaftlichkeit!$H$91</f>
        <v>22.100479497973975</v>
      </c>
      <c r="P48" s="160">
        <f t="shared" ref="P48:P66" si="4">N48-O48</f>
        <v>10.117321092728876</v>
      </c>
    </row>
    <row r="49" spans="1:16" x14ac:dyDescent="0.25">
      <c r="A49" s="157"/>
      <c r="B49" s="55"/>
      <c r="C49" s="145"/>
      <c r="D49" s="146"/>
      <c r="E49" s="146"/>
      <c r="F49" s="146"/>
      <c r="G49" s="146"/>
      <c r="H49" s="147"/>
      <c r="I49" s="145"/>
      <c r="J49" s="146"/>
      <c r="K49" s="147"/>
      <c r="M49" s="175">
        <v>3</v>
      </c>
      <c r="N49" s="176">
        <f>Wirtschaftlichkeit!$I$84</f>
        <v>32.411843762975195</v>
      </c>
      <c r="O49" s="176">
        <f>Wirtschaftlichkeit!$I$91</f>
        <v>21.365500375471289</v>
      </c>
      <c r="P49" s="160">
        <f t="shared" si="4"/>
        <v>11.046343387503907</v>
      </c>
    </row>
    <row r="50" spans="1:16" x14ac:dyDescent="0.25">
      <c r="A50" s="134">
        <v>2</v>
      </c>
      <c r="B50" s="53" t="s">
        <v>11</v>
      </c>
      <c r="C50" s="154">
        <f>D3</f>
        <v>3.4745273948265591</v>
      </c>
      <c r="D50" s="155">
        <f>D4</f>
        <v>2.2680412371134024</v>
      </c>
      <c r="E50" s="155">
        <f>D5</f>
        <v>1.4175</v>
      </c>
      <c r="F50" s="155">
        <f>D6</f>
        <v>14.499999999999998</v>
      </c>
      <c r="G50" s="155">
        <f>D7</f>
        <v>0.5</v>
      </c>
      <c r="H50" s="156">
        <f>D8</f>
        <v>10.057731958762888</v>
      </c>
      <c r="I50" s="148"/>
      <c r="J50" s="146"/>
      <c r="K50" s="147"/>
      <c r="M50" s="175">
        <v>4</v>
      </c>
      <c r="N50" s="176">
        <f>Wirtschaftlichkeit!$J$84</f>
        <v>32.226245938920137</v>
      </c>
      <c r="O50" s="176">
        <f>Wirtschaftlichkeit!$J$91</f>
        <v>20.686813163804992</v>
      </c>
      <c r="P50" s="160">
        <f t="shared" si="4"/>
        <v>11.539432775115145</v>
      </c>
    </row>
    <row r="51" spans="1:16" x14ac:dyDescent="0.25">
      <c r="A51" s="135"/>
      <c r="B51" s="54" t="s">
        <v>24</v>
      </c>
      <c r="C51" s="145"/>
      <c r="D51" s="146"/>
      <c r="E51" s="146"/>
      <c r="F51" s="146"/>
      <c r="G51" s="146"/>
      <c r="H51" s="147"/>
      <c r="I51" s="148">
        <f>D10</f>
        <v>16.494845360824744</v>
      </c>
      <c r="J51" s="149">
        <f>D11</f>
        <v>5.60563413714923</v>
      </c>
      <c r="K51" s="150">
        <f>D12</f>
        <v>0</v>
      </c>
      <c r="M51" s="175">
        <v>5</v>
      </c>
      <c r="N51" s="176">
        <f>Wirtschaftlichkeit!$K$84</f>
        <v>32.153763222760332</v>
      </c>
      <c r="O51" s="176">
        <f>Wirtschaftlichkeit!$K$91</f>
        <v>20.21306897930511</v>
      </c>
      <c r="P51" s="160">
        <f t="shared" si="4"/>
        <v>11.940694243455223</v>
      </c>
    </row>
    <row r="52" spans="1:16" x14ac:dyDescent="0.25">
      <c r="A52" s="157"/>
      <c r="B52" s="55"/>
      <c r="C52" s="145"/>
      <c r="D52" s="146"/>
      <c r="E52" s="146"/>
      <c r="F52" s="146"/>
      <c r="G52" s="146"/>
      <c r="H52" s="147"/>
      <c r="I52" s="145"/>
      <c r="J52" s="146"/>
      <c r="K52" s="147"/>
      <c r="M52" s="175">
        <v>6</v>
      </c>
      <c r="N52" s="176">
        <f>Wirtschaftlichkeit!$L$84</f>
        <v>32.45435068829569</v>
      </c>
      <c r="O52" s="176">
        <f>Wirtschaftlichkeit!$L$91</f>
        <v>19.766202718940235</v>
      </c>
      <c r="P52" s="160">
        <f t="shared" si="4"/>
        <v>12.688147969355455</v>
      </c>
    </row>
    <row r="53" spans="1:16" x14ac:dyDescent="0.25">
      <c r="A53" s="134">
        <v>3</v>
      </c>
      <c r="B53" s="53" t="s">
        <v>11</v>
      </c>
      <c r="C53" s="154">
        <f>E3</f>
        <v>3.8564638410842456</v>
      </c>
      <c r="D53" s="155">
        <f>E4</f>
        <v>2.2412827439254324</v>
      </c>
      <c r="E53" s="155">
        <f>D5</f>
        <v>1.4175</v>
      </c>
      <c r="F53" s="155">
        <f>E6</f>
        <v>14.499999999999998</v>
      </c>
      <c r="G53" s="155">
        <f>E7</f>
        <v>0.5</v>
      </c>
      <c r="H53" s="156">
        <f>E8</f>
        <v>9.8965971779655142</v>
      </c>
      <c r="I53" s="148"/>
      <c r="J53" s="146"/>
      <c r="K53" s="147"/>
      <c r="M53" s="175">
        <v>7</v>
      </c>
      <c r="N53" s="176">
        <f>Wirtschaftlichkeit!$M$84</f>
        <v>32.645875393216329</v>
      </c>
      <c r="O53" s="176">
        <f>Wirtschaftlichkeit!$M$91</f>
        <v>19.416947454221354</v>
      </c>
      <c r="P53" s="160">
        <f t="shared" si="4"/>
        <v>13.228927938994975</v>
      </c>
    </row>
    <row r="54" spans="1:16" x14ac:dyDescent="0.25">
      <c r="A54" s="135"/>
      <c r="B54" s="54" t="s">
        <v>24</v>
      </c>
      <c r="C54" s="145"/>
      <c r="D54" s="146"/>
      <c r="E54" s="146"/>
      <c r="F54" s="146"/>
      <c r="G54" s="146"/>
      <c r="H54" s="147"/>
      <c r="I54" s="148">
        <f>E10</f>
        <v>16.300238137639507</v>
      </c>
      <c r="J54" s="149">
        <f>E11</f>
        <v>5.0652622378317815</v>
      </c>
      <c r="K54" s="150">
        <f>E12</f>
        <v>0</v>
      </c>
      <c r="M54" s="175">
        <v>8</v>
      </c>
      <c r="N54" s="176">
        <f>Wirtschaftlichkeit!$N$84</f>
        <v>32.845486471850066</v>
      </c>
      <c r="O54" s="176">
        <f>Wirtschaftlichkeit!$N$91</f>
        <v>19.119150940017786</v>
      </c>
      <c r="P54" s="160">
        <f t="shared" si="4"/>
        <v>13.72633553183228</v>
      </c>
    </row>
    <row r="55" spans="1:16" x14ac:dyDescent="0.25">
      <c r="A55" s="157"/>
      <c r="B55" s="55"/>
      <c r="C55" s="145"/>
      <c r="D55" s="146"/>
      <c r="E55" s="146"/>
      <c r="F55" s="146"/>
      <c r="G55" s="146"/>
      <c r="H55" s="147"/>
      <c r="I55" s="145"/>
      <c r="J55" s="146"/>
      <c r="K55" s="147"/>
      <c r="M55" s="175">
        <v>9</v>
      </c>
      <c r="N55" s="176">
        <f>Wirtschaftlichkeit!$O$84</f>
        <v>33.12470929776962</v>
      </c>
      <c r="O55" s="176">
        <f>Wirtschaftlichkeit!$O$91</f>
        <v>18.851267005882463</v>
      </c>
      <c r="P55" s="160">
        <f t="shared" si="4"/>
        <v>14.273442291887157</v>
      </c>
    </row>
    <row r="56" spans="1:16" x14ac:dyDescent="0.25">
      <c r="A56" s="134">
        <v>4</v>
      </c>
      <c r="B56" s="53" t="s">
        <v>11</v>
      </c>
      <c r="C56" s="154">
        <f>F3</f>
        <v>4.1523186407424388</v>
      </c>
      <c r="D56" s="155">
        <f>F4</f>
        <v>2.1727175075084757</v>
      </c>
      <c r="E56" s="155">
        <f>F5</f>
        <v>1.4175</v>
      </c>
      <c r="F56" s="155">
        <f>F6</f>
        <v>14.499999999999996</v>
      </c>
      <c r="G56" s="155">
        <f>F7</f>
        <v>0.5</v>
      </c>
      <c r="H56" s="156">
        <f>F8</f>
        <v>9.4837097906692236</v>
      </c>
      <c r="I56" s="148"/>
      <c r="J56" s="146"/>
      <c r="K56" s="147"/>
      <c r="M56" s="175">
        <v>10</v>
      </c>
      <c r="N56" s="176">
        <f>Wirtschaftlichkeit!$P$84</f>
        <v>33.684397031068649</v>
      </c>
      <c r="O56" s="176">
        <f>Wirtschaftlichkeit!$P$91</f>
        <v>19.332262138483582</v>
      </c>
      <c r="P56" s="160">
        <f t="shared" si="4"/>
        <v>14.352134892585067</v>
      </c>
    </row>
    <row r="57" spans="1:16" x14ac:dyDescent="0.25">
      <c r="A57" s="135"/>
      <c r="B57" s="54" t="s">
        <v>24</v>
      </c>
      <c r="C57" s="145"/>
      <c r="D57" s="146"/>
      <c r="E57" s="146"/>
      <c r="F57" s="146"/>
      <c r="G57" s="146"/>
      <c r="H57" s="147"/>
      <c r="I57" s="148">
        <f>F10</f>
        <v>15.801581872788914</v>
      </c>
      <c r="J57" s="149">
        <f>F11</f>
        <v>4.7137576511526378</v>
      </c>
      <c r="K57" s="150">
        <f>F12</f>
        <v>0.17147363986343936</v>
      </c>
      <c r="M57" s="175">
        <v>11</v>
      </c>
      <c r="N57" s="176">
        <f>Wirtschaftlichkeit!$Q$84</f>
        <v>34.193977920328649</v>
      </c>
      <c r="O57" s="176">
        <f>Wirtschaftlichkeit!$Q$91</f>
        <v>18.77485071357011</v>
      </c>
      <c r="P57" s="160">
        <f t="shared" si="4"/>
        <v>15.419127206758539</v>
      </c>
    </row>
    <row r="58" spans="1:16" x14ac:dyDescent="0.25">
      <c r="A58" s="157"/>
      <c r="B58" s="55"/>
      <c r="C58" s="145"/>
      <c r="D58" s="146"/>
      <c r="E58" s="146"/>
      <c r="F58" s="146"/>
      <c r="G58" s="146"/>
      <c r="H58" s="147"/>
      <c r="I58" s="145"/>
      <c r="J58" s="146"/>
      <c r="K58" s="147"/>
      <c r="M58" s="175">
        <v>12</v>
      </c>
      <c r="N58" s="176">
        <f>Wirtschaftlichkeit!$R$84</f>
        <v>35.259129724958107</v>
      </c>
      <c r="O58" s="176">
        <f>Wirtschaftlichkeit!$R$91</f>
        <v>18.57233216764272</v>
      </c>
      <c r="P58" s="160">
        <f t="shared" si="4"/>
        <v>16.686797557315387</v>
      </c>
    </row>
    <row r="59" spans="1:16" x14ac:dyDescent="0.25">
      <c r="A59" s="134">
        <v>5</v>
      </c>
      <c r="B59" s="53" t="s">
        <v>11</v>
      </c>
      <c r="C59" s="154">
        <f>G3</f>
        <v>4.4431132644910321</v>
      </c>
      <c r="D59" s="155">
        <f>G4</f>
        <v>2.1209819981999258</v>
      </c>
      <c r="E59" s="155">
        <f>G5</f>
        <v>1.4175</v>
      </c>
      <c r="F59" s="155">
        <f>G6</f>
        <v>14.5</v>
      </c>
      <c r="G59" s="155">
        <f>G7</f>
        <v>0.5</v>
      </c>
      <c r="H59" s="156">
        <f>G8</f>
        <v>9.1721679600693733</v>
      </c>
      <c r="I59" s="145"/>
      <c r="J59" s="146"/>
      <c r="K59" s="147"/>
      <c r="M59" s="175">
        <v>13</v>
      </c>
      <c r="N59" s="176">
        <f>Wirtschaftlichkeit!$S$84</f>
        <v>36.089168292282238</v>
      </c>
      <c r="O59" s="176">
        <f>Wirtschaftlichkeit!$S$91</f>
        <v>18.388507880645708</v>
      </c>
      <c r="P59" s="160">
        <f t="shared" si="4"/>
        <v>17.70066041163653</v>
      </c>
    </row>
    <row r="60" spans="1:16" x14ac:dyDescent="0.25">
      <c r="A60" s="135"/>
      <c r="B60" s="54" t="s">
        <v>24</v>
      </c>
      <c r="C60" s="145"/>
      <c r="D60" s="146"/>
      <c r="E60" s="146"/>
      <c r="F60" s="146"/>
      <c r="G60" s="146"/>
      <c r="H60" s="147"/>
      <c r="I60" s="148">
        <f>G10</f>
        <v>15.425323623272186</v>
      </c>
      <c r="J60" s="149">
        <f>G11</f>
        <v>4.4579967454521228</v>
      </c>
      <c r="K60" s="150">
        <f>G12</f>
        <v>0.32974861058079952</v>
      </c>
      <c r="M60" s="175">
        <v>14</v>
      </c>
      <c r="N60" s="176">
        <f>Wirtschaftlichkeit!$T$84</f>
        <v>37.001069377800754</v>
      </c>
      <c r="O60" s="176">
        <f>Wirtschaftlichkeit!$T$91</f>
        <v>18.22039506621649</v>
      </c>
      <c r="P60" s="160">
        <f t="shared" si="4"/>
        <v>18.780674311584264</v>
      </c>
    </row>
    <row r="61" spans="1:16" x14ac:dyDescent="0.25">
      <c r="A61" s="157"/>
      <c r="B61" s="55"/>
      <c r="C61" s="145"/>
      <c r="D61" s="146"/>
      <c r="E61" s="146"/>
      <c r="F61" s="146"/>
      <c r="G61" s="146"/>
      <c r="H61" s="147"/>
      <c r="I61" s="145"/>
      <c r="J61" s="146"/>
      <c r="K61" s="147"/>
      <c r="M61" s="175">
        <v>15</v>
      </c>
      <c r="N61" s="176">
        <f>Wirtschaftlichkeit!$U$84</f>
        <v>38.008432207471593</v>
      </c>
      <c r="O61" s="176">
        <f>Wirtschaftlichkeit!$U$91</f>
        <v>18.065659599062386</v>
      </c>
      <c r="P61" s="160">
        <f t="shared" si="4"/>
        <v>19.942772608409207</v>
      </c>
    </row>
    <row r="62" spans="1:16" x14ac:dyDescent="0.25">
      <c r="A62" s="134">
        <v>6</v>
      </c>
      <c r="B62" s="53" t="s">
        <v>11</v>
      </c>
      <c r="C62" s="154">
        <f>H3</f>
        <v>5.0340893328831449</v>
      </c>
      <c r="D62" s="155">
        <f>H4</f>
        <v>2.0796268113611864</v>
      </c>
      <c r="E62" s="155">
        <f>H5</f>
        <v>1.4175</v>
      </c>
      <c r="F62" s="155">
        <f>H6</f>
        <v>14.499999999999996</v>
      </c>
      <c r="G62" s="155">
        <f>H7</f>
        <v>0.5</v>
      </c>
      <c r="H62" s="156">
        <f>H8</f>
        <v>8.9231345440513632</v>
      </c>
      <c r="I62" s="145"/>
      <c r="J62" s="146"/>
      <c r="K62" s="147"/>
      <c r="M62" s="175">
        <v>16</v>
      </c>
      <c r="N62" s="176">
        <f>Wirtschaftlichkeit!$V$84</f>
        <v>39.128407382620807</v>
      </c>
      <c r="O62" s="176">
        <f>Wirtschaftlichkeit!$V$91</f>
        <v>17.922442228847533</v>
      </c>
      <c r="P62" s="160">
        <f t="shared" si="4"/>
        <v>21.205965153773274</v>
      </c>
    </row>
    <row r="63" spans="1:16" x14ac:dyDescent="0.25">
      <c r="A63" s="135"/>
      <c r="B63" s="54" t="s">
        <v>24</v>
      </c>
      <c r="C63" s="145"/>
      <c r="D63" s="146"/>
      <c r="E63" s="146"/>
      <c r="F63" s="146"/>
      <c r="G63" s="146"/>
      <c r="H63" s="147"/>
      <c r="I63" s="148">
        <f>H10</f>
        <v>15.124558628081354</v>
      </c>
      <c r="J63" s="149">
        <f>H11</f>
        <v>4.2593608581127533</v>
      </c>
      <c r="K63" s="150">
        <f>H12</f>
        <v>0.38228323274612508</v>
      </c>
      <c r="M63" s="175">
        <v>17</v>
      </c>
      <c r="N63" s="176">
        <f>Wirtschaftlichkeit!$W$84</f>
        <v>42.222028887225903</v>
      </c>
      <c r="O63" s="176">
        <f>Wirtschaftlichkeit!$W$91</f>
        <v>17.789239061295863</v>
      </c>
      <c r="P63" s="160">
        <f t="shared" si="4"/>
        <v>24.43278982593004</v>
      </c>
    </row>
    <row r="64" spans="1:16" x14ac:dyDescent="0.25">
      <c r="A64" s="157"/>
      <c r="B64" s="55"/>
      <c r="C64" s="145"/>
      <c r="D64" s="146"/>
      <c r="E64" s="146"/>
      <c r="F64" s="146"/>
      <c r="G64" s="146"/>
      <c r="H64" s="147"/>
      <c r="I64" s="145"/>
      <c r="J64" s="146"/>
      <c r="K64" s="147"/>
      <c r="M64" s="175">
        <v>18</v>
      </c>
      <c r="N64" s="176">
        <f>Wirtschaftlichkeit!$X$84</f>
        <v>45.538201131864518</v>
      </c>
      <c r="O64" s="176">
        <f>Wirtschaftlichkeit!$X$91</f>
        <v>17.664817228239144</v>
      </c>
      <c r="P64" s="160">
        <f t="shared" si="4"/>
        <v>27.873383903625374</v>
      </c>
    </row>
    <row r="65" spans="1:16" x14ac:dyDescent="0.25">
      <c r="A65" s="134">
        <v>7</v>
      </c>
      <c r="B65" s="53" t="s">
        <v>11</v>
      </c>
      <c r="C65" s="154">
        <f>I3</f>
        <v>5.4667122980354073</v>
      </c>
      <c r="D65" s="155">
        <f>I4</f>
        <v>2.0452912227730469</v>
      </c>
      <c r="E65" s="155">
        <f>I5</f>
        <v>1.4175</v>
      </c>
      <c r="F65" s="155">
        <f>I6</f>
        <v>14.5</v>
      </c>
      <c r="G65" s="155">
        <f>I7</f>
        <v>0.5</v>
      </c>
      <c r="H65" s="156">
        <f>I8</f>
        <v>8.7163718724078745</v>
      </c>
      <c r="I65" s="145"/>
      <c r="J65" s="146"/>
      <c r="K65" s="147"/>
      <c r="M65" s="175">
        <v>19</v>
      </c>
      <c r="N65" s="176">
        <f>Wirtschaftlichkeit!$Y$84</f>
        <v>48.566713269759653</v>
      </c>
      <c r="O65" s="176">
        <f>Wirtschaftlichkeit!$Y$91</f>
        <v>17.548154044462244</v>
      </c>
      <c r="P65" s="160">
        <f t="shared" si="4"/>
        <v>31.018559225297409</v>
      </c>
    </row>
    <row r="66" spans="1:16" x14ac:dyDescent="0.25">
      <c r="A66" s="135"/>
      <c r="B66" s="54" t="s">
        <v>24</v>
      </c>
      <c r="C66" s="145"/>
      <c r="D66" s="146"/>
      <c r="E66" s="146"/>
      <c r="F66" s="146"/>
      <c r="G66" s="146"/>
      <c r="H66" s="147"/>
      <c r="I66" s="148">
        <f>I10</f>
        <v>14.874845256531248</v>
      </c>
      <c r="J66" s="149">
        <f>I11</f>
        <v>4.0983376724928933</v>
      </c>
      <c r="K66" s="150">
        <f>I12</f>
        <v>0.44376452519721488</v>
      </c>
      <c r="M66" s="167">
        <v>20</v>
      </c>
      <c r="N66" s="177">
        <f>Wirtschaftlichkeit!$Z$84</f>
        <v>51.395985075212693</v>
      </c>
      <c r="O66" s="177">
        <f>Wirtschaftlichkeit!$Z$91</f>
        <v>17.438392241350385</v>
      </c>
      <c r="P66" s="159">
        <f t="shared" si="4"/>
        <v>33.957592833862307</v>
      </c>
    </row>
    <row r="67" spans="1:16" x14ac:dyDescent="0.25">
      <c r="A67" s="157"/>
      <c r="B67" s="55"/>
      <c r="C67" s="145"/>
      <c r="D67" s="146"/>
      <c r="E67" s="146"/>
      <c r="F67" s="146"/>
      <c r="G67" s="146"/>
      <c r="H67" s="147"/>
      <c r="I67" s="145"/>
      <c r="J67" s="146"/>
      <c r="K67" s="147"/>
    </row>
    <row r="68" spans="1:16" x14ac:dyDescent="0.25">
      <c r="A68" s="134">
        <v>8</v>
      </c>
      <c r="B68" s="53" t="s">
        <v>11</v>
      </c>
      <c r="C68" s="154">
        <f>J3</f>
        <v>5.8719522361585454</v>
      </c>
      <c r="D68" s="155">
        <f>J4</f>
        <v>2.0160069470819098</v>
      </c>
      <c r="E68" s="155">
        <f>J5</f>
        <v>1.4175</v>
      </c>
      <c r="F68" s="155">
        <f>J6</f>
        <v>14.5</v>
      </c>
      <c r="G68" s="155">
        <f>J7</f>
        <v>0.5</v>
      </c>
      <c r="H68" s="156">
        <f>J8</f>
        <v>8.5400272886096129</v>
      </c>
      <c r="I68" s="145"/>
      <c r="J68" s="146"/>
      <c r="K68" s="147"/>
    </row>
    <row r="69" spans="1:16" x14ac:dyDescent="0.25">
      <c r="A69" s="135"/>
      <c r="B69" s="54" t="s">
        <v>24</v>
      </c>
      <c r="C69" s="145"/>
      <c r="D69" s="146"/>
      <c r="E69" s="146"/>
      <c r="F69" s="146"/>
      <c r="G69" s="146"/>
      <c r="H69" s="147"/>
      <c r="I69" s="148">
        <f>J10</f>
        <v>14.661868706050251</v>
      </c>
      <c r="J69" s="149">
        <f>J11</f>
        <v>3.9637819112290225</v>
      </c>
      <c r="K69" s="150">
        <f>J12</f>
        <v>0.49350032273851269</v>
      </c>
    </row>
    <row r="70" spans="1:16" x14ac:dyDescent="0.25">
      <c r="A70" s="157"/>
      <c r="B70" s="55"/>
      <c r="C70" s="145"/>
      <c r="D70" s="146"/>
      <c r="E70" s="146"/>
      <c r="F70" s="146"/>
      <c r="G70" s="146"/>
      <c r="H70" s="147"/>
      <c r="I70" s="145"/>
      <c r="J70" s="146"/>
      <c r="K70" s="147"/>
    </row>
    <row r="71" spans="1:16" x14ac:dyDescent="0.25">
      <c r="A71" s="134">
        <v>9</v>
      </c>
      <c r="B71" s="53" t="s">
        <v>11</v>
      </c>
      <c r="C71" s="154">
        <f>K3</f>
        <v>6.3301073829195662</v>
      </c>
      <c r="D71" s="155">
        <f>K4</f>
        <v>1.9905246124203864</v>
      </c>
      <c r="E71" s="155">
        <f>K5</f>
        <v>1.4175</v>
      </c>
      <c r="F71" s="155">
        <f>K6</f>
        <v>14.499999999999998</v>
      </c>
      <c r="G71" s="155">
        <f>K7</f>
        <v>0.5</v>
      </c>
      <c r="H71" s="156">
        <f>K8</f>
        <v>8.3865773024296697</v>
      </c>
      <c r="I71" s="145"/>
      <c r="J71" s="146"/>
      <c r="K71" s="147"/>
    </row>
    <row r="72" spans="1:16" x14ac:dyDescent="0.25">
      <c r="A72" s="135"/>
      <c r="B72" s="54" t="s">
        <v>24</v>
      </c>
      <c r="C72" s="145"/>
      <c r="D72" s="146"/>
      <c r="E72" s="146"/>
      <c r="F72" s="146"/>
      <c r="G72" s="146"/>
      <c r="H72" s="147"/>
      <c r="I72" s="148">
        <f>K10</f>
        <v>14.476542635784627</v>
      </c>
      <c r="J72" s="149">
        <f>K11</f>
        <v>3.8487670054880363</v>
      </c>
      <c r="K72" s="150">
        <f>K12</f>
        <v>0.52595736460979781</v>
      </c>
    </row>
    <row r="73" spans="1:16" x14ac:dyDescent="0.25">
      <c r="A73" s="157"/>
      <c r="B73" s="55"/>
      <c r="C73" s="145"/>
      <c r="D73" s="146"/>
      <c r="E73" s="146"/>
      <c r="F73" s="146"/>
      <c r="G73" s="146"/>
      <c r="H73" s="147"/>
      <c r="I73" s="145"/>
      <c r="J73" s="146"/>
      <c r="K73" s="147"/>
    </row>
    <row r="74" spans="1:16" x14ac:dyDescent="0.25">
      <c r="A74" s="134">
        <v>10</v>
      </c>
      <c r="B74" s="53" t="s">
        <v>11</v>
      </c>
      <c r="C74" s="154">
        <f>L3</f>
        <v>7.0479382036811797</v>
      </c>
      <c r="D74" s="155">
        <f>L4</f>
        <v>1.9680029402027726</v>
      </c>
      <c r="E74" s="155">
        <f>L5</f>
        <v>1.4175</v>
      </c>
      <c r="F74" s="155">
        <f>L6</f>
        <v>14.499999999999998</v>
      </c>
      <c r="G74" s="155">
        <f>L7</f>
        <v>0.5</v>
      </c>
      <c r="H74" s="156">
        <f>L8</f>
        <v>8.2509558871846966</v>
      </c>
      <c r="I74" s="145"/>
      <c r="J74" s="146"/>
      <c r="K74" s="147"/>
    </row>
    <row r="75" spans="1:16" x14ac:dyDescent="0.25">
      <c r="A75" s="135"/>
      <c r="B75" s="54" t="s">
        <v>24</v>
      </c>
      <c r="C75" s="145"/>
      <c r="D75" s="146"/>
      <c r="E75" s="146"/>
      <c r="F75" s="146"/>
      <c r="G75" s="146"/>
      <c r="H75" s="147"/>
      <c r="I75" s="148">
        <f>L10</f>
        <v>14.312748656020165</v>
      </c>
      <c r="J75" s="149">
        <f>L11</f>
        <v>3.7487134824634158</v>
      </c>
      <c r="K75" s="150">
        <f>L12</f>
        <v>1.2708000000000002</v>
      </c>
    </row>
    <row r="76" spans="1:16" x14ac:dyDescent="0.25">
      <c r="A76" s="157"/>
      <c r="B76" s="55"/>
      <c r="C76" s="145"/>
      <c r="D76" s="146"/>
      <c r="E76" s="146"/>
      <c r="F76" s="146"/>
      <c r="G76" s="146"/>
      <c r="H76" s="147"/>
      <c r="I76" s="145"/>
      <c r="J76" s="146"/>
      <c r="K76" s="147"/>
    </row>
    <row r="77" spans="1:16" x14ac:dyDescent="0.25">
      <c r="A77" s="134">
        <v>11</v>
      </c>
      <c r="B77" s="53" t="s">
        <v>11</v>
      </c>
      <c r="C77" s="154">
        <f>M3</f>
        <v>8.0104781592741592</v>
      </c>
      <c r="D77" s="155">
        <f>M4</f>
        <v>1.9034955641066731</v>
      </c>
      <c r="E77" s="155">
        <f>M5</f>
        <v>1.4175</v>
      </c>
      <c r="F77" s="155">
        <f>M6</f>
        <v>14.5</v>
      </c>
      <c r="G77" s="155">
        <f>M7</f>
        <v>0.5</v>
      </c>
      <c r="H77" s="156">
        <f>M8</f>
        <v>7.8625041969478211</v>
      </c>
      <c r="I77" s="145"/>
      <c r="J77" s="146"/>
      <c r="K77" s="147"/>
    </row>
    <row r="78" spans="1:16" x14ac:dyDescent="0.25">
      <c r="A78" s="135"/>
      <c r="B78" s="54" t="s">
        <v>24</v>
      </c>
      <c r="C78" s="145"/>
      <c r="D78" s="146"/>
      <c r="E78" s="146"/>
      <c r="F78" s="146"/>
      <c r="G78" s="146"/>
      <c r="H78" s="147"/>
      <c r="I78" s="148">
        <f>M10</f>
        <v>13.843604102593984</v>
      </c>
      <c r="J78" s="149">
        <f>M11</f>
        <v>3.6604466109761247</v>
      </c>
      <c r="K78" s="150">
        <f>M12</f>
        <v>1.2708000000000002</v>
      </c>
    </row>
    <row r="79" spans="1:16" x14ac:dyDescent="0.25">
      <c r="A79" s="157"/>
      <c r="B79" s="55"/>
      <c r="C79" s="145"/>
      <c r="D79" s="146"/>
      <c r="E79" s="146"/>
      <c r="F79" s="146"/>
      <c r="G79" s="146"/>
      <c r="H79" s="147"/>
      <c r="I79" s="145"/>
      <c r="J79" s="146"/>
      <c r="K79" s="147"/>
    </row>
    <row r="80" spans="1:16" x14ac:dyDescent="0.25">
      <c r="A80" s="134">
        <v>12</v>
      </c>
      <c r="B80" s="53" t="s">
        <v>11</v>
      </c>
      <c r="C80" s="154">
        <f>N3</f>
        <v>9.1951136899064263</v>
      </c>
      <c r="D80" s="155">
        <f>N4</f>
        <v>1.8864794974827612</v>
      </c>
      <c r="E80" s="155">
        <f>N5</f>
        <v>1.4175000000000002</v>
      </c>
      <c r="F80" s="155">
        <f>N6</f>
        <v>14.5</v>
      </c>
      <c r="G80" s="155">
        <f>N7</f>
        <v>0.5</v>
      </c>
      <c r="H80" s="156">
        <f>N8</f>
        <v>7.7600365375689195</v>
      </c>
      <c r="I80" s="145"/>
      <c r="J80" s="146"/>
      <c r="K80" s="147"/>
    </row>
    <row r="81" spans="1:11" x14ac:dyDescent="0.25">
      <c r="A81" s="135"/>
      <c r="B81" s="54" t="s">
        <v>24</v>
      </c>
      <c r="C81" s="145"/>
      <c r="D81" s="146"/>
      <c r="E81" s="146"/>
      <c r="F81" s="146"/>
      <c r="G81" s="146"/>
      <c r="H81" s="147"/>
      <c r="I81" s="148">
        <f>N10</f>
        <v>13.719850890783718</v>
      </c>
      <c r="J81" s="149">
        <f>N11</f>
        <v>3.5816812768590025</v>
      </c>
      <c r="K81" s="150">
        <f>N12</f>
        <v>1.2708000000000002</v>
      </c>
    </row>
    <row r="82" spans="1:11" x14ac:dyDescent="0.25">
      <c r="A82" s="157"/>
      <c r="B82" s="55"/>
      <c r="C82" s="145"/>
      <c r="D82" s="146"/>
      <c r="E82" s="146"/>
      <c r="F82" s="146"/>
      <c r="G82" s="146"/>
      <c r="H82" s="147"/>
      <c r="I82" s="145"/>
      <c r="J82" s="146"/>
      <c r="K82" s="147"/>
    </row>
    <row r="83" spans="1:11" x14ac:dyDescent="0.25">
      <c r="A83" s="134">
        <v>13</v>
      </c>
      <c r="B83" s="53" t="s">
        <v>11</v>
      </c>
      <c r="C83" s="154">
        <f>O3</f>
        <v>10.13412318497355</v>
      </c>
      <c r="D83" s="155">
        <f>O4</f>
        <v>1.8709605927032056</v>
      </c>
      <c r="E83" s="155">
        <f>O5</f>
        <v>1.4175</v>
      </c>
      <c r="F83" s="155">
        <f>O6</f>
        <v>14.499999999999998</v>
      </c>
      <c r="G83" s="155">
        <f>P7</f>
        <v>0.5</v>
      </c>
      <c r="H83" s="156">
        <f>O8</f>
        <v>7.6665845146054847</v>
      </c>
      <c r="I83" s="145"/>
      <c r="J83" s="146"/>
      <c r="K83" s="147"/>
    </row>
    <row r="84" spans="1:11" x14ac:dyDescent="0.25">
      <c r="A84" s="135"/>
      <c r="B84" s="54" t="s">
        <v>24</v>
      </c>
      <c r="C84" s="145"/>
      <c r="D84" s="146"/>
      <c r="E84" s="146"/>
      <c r="F84" s="146"/>
      <c r="G84" s="146"/>
      <c r="H84" s="147"/>
      <c r="I84" s="148">
        <f>O10</f>
        <v>13.606986128750584</v>
      </c>
      <c r="J84" s="149">
        <f>O11</f>
        <v>3.5107217518951219</v>
      </c>
      <c r="K84" s="150">
        <f>O12</f>
        <v>1.2708000000000002</v>
      </c>
    </row>
    <row r="85" spans="1:11" x14ac:dyDescent="0.25">
      <c r="A85" s="157"/>
      <c r="B85" s="55"/>
      <c r="C85" s="145"/>
      <c r="D85" s="146"/>
      <c r="E85" s="146"/>
      <c r="F85" s="146"/>
      <c r="G85" s="146"/>
      <c r="H85" s="147"/>
      <c r="I85" s="145"/>
      <c r="J85" s="146"/>
      <c r="K85" s="147"/>
    </row>
    <row r="86" spans="1:11" x14ac:dyDescent="0.25">
      <c r="A86" s="134">
        <v>14</v>
      </c>
      <c r="B86" s="53" t="s">
        <v>11</v>
      </c>
      <c r="C86" s="154">
        <f>P3</f>
        <v>11.146116226390461</v>
      </c>
      <c r="D86" s="155">
        <f>P4</f>
        <v>1.8567061712262196</v>
      </c>
      <c r="E86" s="155">
        <f>P5</f>
        <v>1.4175</v>
      </c>
      <c r="F86" s="155">
        <f>P6</f>
        <v>14.499999999999998</v>
      </c>
      <c r="G86" s="155">
        <f>P7</f>
        <v>0.5</v>
      </c>
      <c r="H86" s="156">
        <f>P8</f>
        <v>7.5807469801840712</v>
      </c>
      <c r="I86" s="145"/>
      <c r="J86" s="146"/>
      <c r="K86" s="147"/>
    </row>
    <row r="87" spans="1:11" x14ac:dyDescent="0.25">
      <c r="A87" s="135"/>
      <c r="B87" s="54" t="s">
        <v>24</v>
      </c>
      <c r="C87" s="145"/>
      <c r="D87" s="146"/>
      <c r="E87" s="146"/>
      <c r="F87" s="146"/>
      <c r="G87" s="146"/>
      <c r="H87" s="147"/>
      <c r="I87" s="148">
        <f>P10</f>
        <v>13.503317608917959</v>
      </c>
      <c r="J87" s="149">
        <f>P11</f>
        <v>3.4462774572985313</v>
      </c>
      <c r="K87" s="150">
        <f>P12</f>
        <v>1.2708000000000002</v>
      </c>
    </row>
    <row r="88" spans="1:11" x14ac:dyDescent="0.25">
      <c r="A88" s="157"/>
      <c r="B88" s="55"/>
      <c r="C88" s="145"/>
      <c r="D88" s="146"/>
      <c r="E88" s="146"/>
      <c r="F88" s="146"/>
      <c r="G88" s="146"/>
      <c r="H88" s="147"/>
      <c r="I88" s="145"/>
      <c r="J88" s="146"/>
      <c r="K88" s="147"/>
    </row>
    <row r="89" spans="1:11" x14ac:dyDescent="0.25">
      <c r="A89" s="134">
        <v>15</v>
      </c>
      <c r="B89" s="53" t="s">
        <v>11</v>
      </c>
      <c r="C89" s="154">
        <f>Q3</f>
        <v>12.245976875316941</v>
      </c>
      <c r="D89" s="155">
        <f>Q4</f>
        <v>1.8435332554855153</v>
      </c>
      <c r="E89" s="155">
        <f>Q5</f>
        <v>1.4175</v>
      </c>
      <c r="F89" s="155">
        <f>Q6</f>
        <v>14.499999999999996</v>
      </c>
      <c r="G89" s="155">
        <f>Q7</f>
        <v>0.5</v>
      </c>
      <c r="H89" s="156">
        <f>Q8</f>
        <v>7.5014220766691393</v>
      </c>
      <c r="I89" s="145"/>
      <c r="J89" s="146"/>
      <c r="K89" s="147"/>
    </row>
    <row r="90" spans="1:11" x14ac:dyDescent="0.25">
      <c r="A90" s="135"/>
      <c r="B90" s="54" t="s">
        <v>24</v>
      </c>
      <c r="C90" s="145"/>
      <c r="D90" s="146"/>
      <c r="E90" s="146"/>
      <c r="F90" s="146"/>
      <c r="G90" s="146"/>
      <c r="H90" s="147"/>
      <c r="I90" s="148">
        <f>Q10</f>
        <v>13.407514585349201</v>
      </c>
      <c r="J90" s="149">
        <f>Q11</f>
        <v>3.3873450137131838</v>
      </c>
      <c r="K90" s="150">
        <f>Q12</f>
        <v>1.2708000000000002</v>
      </c>
    </row>
    <row r="91" spans="1:11" x14ac:dyDescent="0.25">
      <c r="A91" s="157"/>
      <c r="B91" s="55"/>
      <c r="C91" s="145"/>
      <c r="D91" s="146"/>
      <c r="E91" s="146"/>
      <c r="F91" s="146"/>
      <c r="G91" s="146"/>
      <c r="H91" s="147"/>
      <c r="I91" s="145"/>
      <c r="J91" s="146"/>
      <c r="K91" s="147"/>
    </row>
    <row r="92" spans="1:11" x14ac:dyDescent="0.25">
      <c r="A92" s="134">
        <v>16</v>
      </c>
      <c r="B92" s="53" t="s">
        <v>11</v>
      </c>
      <c r="C92" s="154">
        <f>R3</f>
        <v>13.451883825668515</v>
      </c>
      <c r="D92" s="155">
        <f>R4</f>
        <v>1.8312954314665357</v>
      </c>
      <c r="E92" s="155">
        <f>R5</f>
        <v>1.4175</v>
      </c>
      <c r="F92" s="155">
        <f>R6</f>
        <v>14.5</v>
      </c>
      <c r="G92" s="155">
        <f>R7</f>
        <v>0.5</v>
      </c>
      <c r="H92" s="156">
        <f>R8</f>
        <v>7.4277281254857579</v>
      </c>
      <c r="I92" s="145"/>
      <c r="J92" s="146"/>
      <c r="K92" s="147"/>
    </row>
    <row r="93" spans="1:11" x14ac:dyDescent="0.25">
      <c r="A93" s="135"/>
      <c r="B93" s="54" t="s">
        <v>24</v>
      </c>
      <c r="C93" s="145"/>
      <c r="D93" s="146"/>
      <c r="E93" s="146"/>
      <c r="F93" s="146"/>
      <c r="G93" s="146"/>
      <c r="H93" s="147"/>
      <c r="I93" s="148">
        <f>R10</f>
        <v>13.318512228847533</v>
      </c>
      <c r="J93" s="149">
        <f>R11</f>
        <v>3.3331300000000001</v>
      </c>
      <c r="K93" s="150">
        <f>R12</f>
        <v>1.2708000000000002</v>
      </c>
    </row>
    <row r="94" spans="1:11" x14ac:dyDescent="0.25">
      <c r="A94" s="157"/>
      <c r="B94" s="55"/>
      <c r="C94" s="145"/>
      <c r="D94" s="146"/>
      <c r="E94" s="146"/>
      <c r="F94" s="146"/>
      <c r="G94" s="146"/>
      <c r="H94" s="147"/>
      <c r="I94" s="145"/>
      <c r="J94" s="146"/>
      <c r="K94" s="147"/>
    </row>
    <row r="95" spans="1:11" x14ac:dyDescent="0.25">
      <c r="A95" s="134">
        <v>17</v>
      </c>
      <c r="B95" s="53" t="s">
        <v>11</v>
      </c>
      <c r="C95" s="154">
        <f>S3</f>
        <v>16.625706160994788</v>
      </c>
      <c r="D95" s="155">
        <f>S4</f>
        <v>1.8198737699189838</v>
      </c>
      <c r="E95" s="155">
        <f>S5</f>
        <v>1.4175</v>
      </c>
      <c r="F95" s="155">
        <f>S6</f>
        <v>14.5</v>
      </c>
      <c r="G95" s="155">
        <f>S7</f>
        <v>0.5</v>
      </c>
      <c r="H95" s="156">
        <f>S8</f>
        <v>7.3589489563121351</v>
      </c>
      <c r="I95" s="145"/>
      <c r="J95" s="146"/>
      <c r="K95" s="147"/>
    </row>
    <row r="96" spans="1:11" x14ac:dyDescent="0.25">
      <c r="A96" s="135"/>
      <c r="B96" s="54" t="s">
        <v>24</v>
      </c>
      <c r="C96" s="145"/>
      <c r="D96" s="146"/>
      <c r="E96" s="146"/>
      <c r="F96" s="146"/>
      <c r="G96" s="146"/>
      <c r="H96" s="147"/>
      <c r="I96" s="148">
        <f>S10</f>
        <v>13.235445599410788</v>
      </c>
      <c r="J96" s="149">
        <f>S11</f>
        <v>3.2829934618850745</v>
      </c>
      <c r="K96" s="150">
        <f>S12</f>
        <v>1.2708000000000004</v>
      </c>
    </row>
    <row r="97" spans="1:11" x14ac:dyDescent="0.25">
      <c r="A97" s="157"/>
      <c r="B97" s="55"/>
      <c r="C97" s="145"/>
      <c r="D97" s="146"/>
      <c r="E97" s="146"/>
      <c r="F97" s="146"/>
      <c r="G97" s="146"/>
      <c r="H97" s="147"/>
      <c r="I97" s="145"/>
      <c r="J97" s="146"/>
      <c r="K97" s="147"/>
    </row>
    <row r="98" spans="1:11" x14ac:dyDescent="0.25">
      <c r="A98" s="134">
        <v>18</v>
      </c>
      <c r="B98" s="53" t="s">
        <v>11</v>
      </c>
      <c r="C98" s="154">
        <f>T3</f>
        <v>20.017035580018156</v>
      </c>
      <c r="D98" s="155">
        <f>T4</f>
        <v>1.809170391899404</v>
      </c>
      <c r="E98" s="155">
        <f>T5</f>
        <v>1.4175</v>
      </c>
      <c r="F98" s="155">
        <f>T6</f>
        <v>14.5</v>
      </c>
      <c r="G98" s="155">
        <f>T7</f>
        <v>0.5</v>
      </c>
      <c r="H98" s="156">
        <f>T8</f>
        <v>7.2944951599469574</v>
      </c>
      <c r="I98" s="145"/>
      <c r="J98" s="146"/>
      <c r="K98" s="147"/>
    </row>
    <row r="99" spans="1:11" x14ac:dyDescent="0.25">
      <c r="A99" s="135"/>
      <c r="B99" s="54" t="s">
        <v>24</v>
      </c>
      <c r="C99" s="145"/>
      <c r="D99" s="146"/>
      <c r="E99" s="146"/>
      <c r="F99" s="146"/>
      <c r="G99" s="146"/>
      <c r="H99" s="147"/>
      <c r="I99" s="148">
        <f>T10</f>
        <v>13.157602850177483</v>
      </c>
      <c r="J99" s="149">
        <f>T11</f>
        <v>3.2364143780616592</v>
      </c>
      <c r="K99" s="150">
        <f>T12</f>
        <v>1.2708000000000002</v>
      </c>
    </row>
    <row r="100" spans="1:11" x14ac:dyDescent="0.25">
      <c r="A100" s="157"/>
      <c r="B100" s="55"/>
      <c r="C100" s="145"/>
      <c r="D100" s="146"/>
      <c r="E100" s="146"/>
      <c r="F100" s="146"/>
      <c r="G100" s="146"/>
      <c r="H100" s="147"/>
      <c r="I100" s="145"/>
      <c r="J100" s="146"/>
      <c r="K100" s="147"/>
    </row>
    <row r="101" spans="1:11" x14ac:dyDescent="0.25">
      <c r="A101" s="134">
        <v>19</v>
      </c>
      <c r="B101" s="53" t="s">
        <v>11</v>
      </c>
      <c r="C101" s="154">
        <f>U3</f>
        <v>23.116233446328785</v>
      </c>
      <c r="D101" s="155">
        <f>U4</f>
        <v>1.7991038070655041</v>
      </c>
      <c r="E101" s="155">
        <f>U5</f>
        <v>1.4175</v>
      </c>
      <c r="F101" s="155">
        <f>U6</f>
        <v>14.5</v>
      </c>
      <c r="G101" s="155">
        <f>U7</f>
        <v>0.5</v>
      </c>
      <c r="H101" s="156">
        <f>U8</f>
        <v>7.2338760163653646</v>
      </c>
      <c r="I101" s="145"/>
      <c r="J101" s="146"/>
      <c r="K101" s="147"/>
    </row>
    <row r="102" spans="1:11" x14ac:dyDescent="0.25">
      <c r="A102" s="135"/>
      <c r="B102" s="54" t="s">
        <v>24</v>
      </c>
      <c r="C102" s="145"/>
      <c r="D102" s="146"/>
      <c r="E102" s="146"/>
      <c r="F102" s="146"/>
      <c r="G102" s="146"/>
      <c r="H102" s="147"/>
      <c r="I102" s="148">
        <f>U10</f>
        <v>13.084391324112758</v>
      </c>
      <c r="J102" s="149">
        <f>U11</f>
        <v>3.1929627203494864</v>
      </c>
      <c r="K102" s="150">
        <f>U12</f>
        <v>1.2708000000000002</v>
      </c>
    </row>
    <row r="103" spans="1:11" x14ac:dyDescent="0.25">
      <c r="A103" s="157"/>
      <c r="B103" s="55"/>
      <c r="C103" s="145"/>
      <c r="D103" s="146"/>
      <c r="E103" s="146"/>
      <c r="F103" s="146"/>
      <c r="G103" s="146"/>
      <c r="H103" s="147"/>
      <c r="I103" s="145"/>
      <c r="J103" s="146"/>
      <c r="K103" s="147"/>
    </row>
    <row r="104" spans="1:11" x14ac:dyDescent="0.25">
      <c r="A104" s="134">
        <v>20</v>
      </c>
      <c r="B104" s="53" t="s">
        <v>11</v>
      </c>
      <c r="C104" s="154">
        <f>V3</f>
        <v>26.012200844747674</v>
      </c>
      <c r="D104" s="155">
        <f>V4</f>
        <v>1.7896054704183741</v>
      </c>
      <c r="E104" s="155">
        <f>V5</f>
        <v>1.4175000000000002</v>
      </c>
      <c r="F104" s="155">
        <f>V6</f>
        <v>14.5</v>
      </c>
      <c r="G104" s="155">
        <f>V7</f>
        <v>0.5</v>
      </c>
      <c r="H104" s="156">
        <f>V8</f>
        <v>7.1766787600466442</v>
      </c>
      <c r="I104" s="145"/>
      <c r="J104" s="146"/>
      <c r="K104" s="147"/>
    </row>
    <row r="105" spans="1:11" x14ac:dyDescent="0.25">
      <c r="A105" s="135"/>
      <c r="B105" s="54" t="s">
        <v>24</v>
      </c>
      <c r="C105" s="145"/>
      <c r="D105" s="146"/>
      <c r="E105" s="146"/>
      <c r="F105" s="146"/>
      <c r="G105" s="146"/>
      <c r="H105" s="147"/>
      <c r="I105" s="148">
        <f>V10</f>
        <v>13.015312512133628</v>
      </c>
      <c r="J105" s="149">
        <f>V11</f>
        <v>3.1522797292167564</v>
      </c>
      <c r="K105" s="150">
        <f>V12</f>
        <v>1.2708000000000002</v>
      </c>
    </row>
    <row r="106" spans="1:11" x14ac:dyDescent="0.25">
      <c r="A106" s="157"/>
      <c r="B106" s="55"/>
      <c r="C106" s="151"/>
      <c r="D106" s="152"/>
      <c r="E106" s="152"/>
      <c r="F106" s="152"/>
      <c r="G106" s="152"/>
      <c r="H106" s="153"/>
      <c r="I106" s="151"/>
      <c r="J106" s="152"/>
      <c r="K106" s="153"/>
    </row>
    <row r="109" spans="1:11" x14ac:dyDescent="0.25">
      <c r="E109" s="80"/>
    </row>
    <row r="110" spans="1:11" x14ac:dyDescent="0.25">
      <c r="B110" s="297" t="s">
        <v>172</v>
      </c>
      <c r="C110" s="296">
        <f>C28</f>
        <v>9</v>
      </c>
      <c r="D110" s="292" t="s">
        <v>22</v>
      </c>
      <c r="E110" s="80"/>
    </row>
    <row r="111" spans="1:11" x14ac:dyDescent="0.25">
      <c r="B111" s="282"/>
      <c r="C111" s="298"/>
      <c r="D111" s="304"/>
      <c r="E111" s="73"/>
    </row>
    <row r="112" spans="1:11" x14ac:dyDescent="0.25">
      <c r="B112" s="288"/>
      <c r="C112" s="308" t="s">
        <v>99</v>
      </c>
      <c r="D112" s="292" t="s">
        <v>24</v>
      </c>
    </row>
    <row r="113" spans="2:5" x14ac:dyDescent="0.25">
      <c r="B113" s="290" t="s">
        <v>101</v>
      </c>
      <c r="C113" s="293">
        <f>HLOOKUP(C110,C2:V3,2,)</f>
        <v>6.3301073829195662</v>
      </c>
      <c r="D113" s="306"/>
    </row>
    <row r="114" spans="2:5" x14ac:dyDescent="0.25">
      <c r="B114" s="305" t="s">
        <v>130</v>
      </c>
      <c r="C114" s="294">
        <f>HLOOKUP(C110,C2:V4,3,)</f>
        <v>1.9905246124203864</v>
      </c>
      <c r="D114" s="307"/>
    </row>
    <row r="115" spans="2:5" x14ac:dyDescent="0.25">
      <c r="B115" s="290" t="s">
        <v>106</v>
      </c>
      <c r="C115" s="294">
        <f>HLOOKUP(C110,C2:V5,4,)</f>
        <v>1.4175</v>
      </c>
      <c r="D115" s="307"/>
    </row>
    <row r="116" spans="2:5" x14ac:dyDescent="0.25">
      <c r="B116" s="290" t="s">
        <v>112</v>
      </c>
      <c r="C116" s="294">
        <f>HLOOKUP(C110,C2:V6,5,)</f>
        <v>14.499999999999998</v>
      </c>
      <c r="D116" s="307"/>
    </row>
    <row r="117" spans="2:5" x14ac:dyDescent="0.25">
      <c r="B117" s="290" t="s">
        <v>177</v>
      </c>
      <c r="C117" s="294">
        <f>HLOOKUP(C110,C2:V7,6,)</f>
        <v>0.5</v>
      </c>
      <c r="D117" s="307"/>
    </row>
    <row r="118" spans="2:5" x14ac:dyDescent="0.25">
      <c r="B118" s="291" t="s">
        <v>0</v>
      </c>
      <c r="C118" s="295">
        <f>HLOOKUP($C$110,C2:V8,7,)</f>
        <v>8.3865773024296697</v>
      </c>
      <c r="D118" s="307"/>
    </row>
    <row r="119" spans="2:5" x14ac:dyDescent="0.25">
      <c r="B119" s="289" t="s">
        <v>116</v>
      </c>
      <c r="C119" s="309"/>
      <c r="D119" s="293">
        <f>HLOOKUP($C$110,C2:V10,9,)</f>
        <v>14.476542635784627</v>
      </c>
    </row>
    <row r="120" spans="2:5" x14ac:dyDescent="0.25">
      <c r="B120" s="290" t="s">
        <v>38</v>
      </c>
      <c r="C120" s="310"/>
      <c r="D120" s="294">
        <f>HLOOKUP($C$110,C2:V11,10,)</f>
        <v>3.8487670054880363</v>
      </c>
    </row>
    <row r="121" spans="2:5" x14ac:dyDescent="0.25">
      <c r="B121" s="291" t="s">
        <v>23</v>
      </c>
      <c r="C121" s="311"/>
      <c r="D121" s="295">
        <f>HLOOKUP($C$110,C2:V12,11,)</f>
        <v>0.52595736460979781</v>
      </c>
    </row>
    <row r="122" spans="2:5" x14ac:dyDescent="0.25">
      <c r="B122" s="290" t="s">
        <v>34</v>
      </c>
      <c r="E122" s="295">
        <f>HLOOKUP($C$110,C14:V17,3,)</f>
        <v>13.414392503827482</v>
      </c>
    </row>
    <row r="123" spans="2:5" x14ac:dyDescent="0.25">
      <c r="B123" s="290" t="s">
        <v>173</v>
      </c>
      <c r="E123" s="295">
        <f>HLOOKUP($C$110,C14:V17,2,)</f>
        <v>4577.3453838161431</v>
      </c>
    </row>
  </sheetData>
  <sheetProtection algorithmName="SHA-512" hashValue="6nUlqfEivKEPpN4tludSkz5gV5/5aARdBSAC9I08l1RzQPBz/9f1q9HnWtV0AM//A7Ijv7ly7bhubpU+dFmpRA==" saltValue="D3f570DfL29X30BczIbpuQ==" spinCount="100000" sheet="1" objects="1" scenarios="1"/>
  <mergeCells count="1">
    <mergeCell ref="X2:AB2"/>
  </mergeCells>
  <conditionalFormatting sqref="C19">
    <cfRule type="expression" dxfId="63" priority="43">
      <formula>$C$3=$F$4</formula>
    </cfRule>
  </conditionalFormatting>
  <conditionalFormatting sqref="D19">
    <cfRule type="expression" dxfId="62" priority="62">
      <formula>$C$3=$G$4</formula>
    </cfRule>
  </conditionalFormatting>
  <conditionalFormatting sqref="E19">
    <cfRule type="expression" dxfId="61" priority="61">
      <formula>$C$3=$H$4</formula>
    </cfRule>
  </conditionalFormatting>
  <conditionalFormatting sqref="F19">
    <cfRule type="expression" dxfId="60" priority="60">
      <formula>$C$3=$I$4</formula>
    </cfRule>
  </conditionalFormatting>
  <conditionalFormatting sqref="G19">
    <cfRule type="expression" dxfId="59" priority="59">
      <formula>$C$3=$J$4</formula>
    </cfRule>
  </conditionalFormatting>
  <conditionalFormatting sqref="H19">
    <cfRule type="expression" dxfId="58" priority="58">
      <formula>$C$3=$K$4</formula>
    </cfRule>
  </conditionalFormatting>
  <conditionalFormatting sqref="I19">
    <cfRule type="expression" dxfId="57" priority="57">
      <formula>$C$3=$L$4</formula>
    </cfRule>
  </conditionalFormatting>
  <conditionalFormatting sqref="J19">
    <cfRule type="expression" dxfId="56" priority="56">
      <formula>$C$3=$M$4</formula>
    </cfRule>
  </conditionalFormatting>
  <conditionalFormatting sqref="K19">
    <cfRule type="expression" dxfId="55" priority="55">
      <formula>$C$3=$N$4</formula>
    </cfRule>
  </conditionalFormatting>
  <conditionalFormatting sqref="L19">
    <cfRule type="expression" dxfId="54" priority="54">
      <formula>$C$3=$O$4</formula>
    </cfRule>
  </conditionalFormatting>
  <conditionalFormatting sqref="M19">
    <cfRule type="expression" dxfId="53" priority="53">
      <formula>$C$3=$P$4</formula>
    </cfRule>
  </conditionalFormatting>
  <conditionalFormatting sqref="N19">
    <cfRule type="expression" dxfId="52" priority="52">
      <formula>$C$3=$Q$4</formula>
    </cfRule>
  </conditionalFormatting>
  <conditionalFormatting sqref="O19">
    <cfRule type="expression" dxfId="51" priority="51">
      <formula>$C$3=$R$4</formula>
    </cfRule>
  </conditionalFormatting>
  <conditionalFormatting sqref="P19">
    <cfRule type="expression" dxfId="50" priority="50">
      <formula>$C$3=$S$4</formula>
    </cfRule>
  </conditionalFormatting>
  <conditionalFormatting sqref="Q19">
    <cfRule type="expression" dxfId="49" priority="49">
      <formula>$C$3=$T$4</formula>
    </cfRule>
  </conditionalFormatting>
  <conditionalFormatting sqref="R19">
    <cfRule type="expression" dxfId="48" priority="48">
      <formula>$C$3=$U$4</formula>
    </cfRule>
  </conditionalFormatting>
  <conditionalFormatting sqref="S19">
    <cfRule type="expression" dxfId="47" priority="47">
      <formula>$C$3=$V$4</formula>
    </cfRule>
  </conditionalFormatting>
  <conditionalFormatting sqref="T19">
    <cfRule type="expression" dxfId="46" priority="46">
      <formula>$C$3=$W$4</formula>
    </cfRule>
  </conditionalFormatting>
  <conditionalFormatting sqref="U19">
    <cfRule type="expression" dxfId="45" priority="45">
      <formula>$C$3=$X$4</formula>
    </cfRule>
  </conditionalFormatting>
  <conditionalFormatting sqref="V19">
    <cfRule type="expression" dxfId="44" priority="44">
      <formula>$C$3=$Y$4</formula>
    </cfRule>
  </conditionalFormatting>
  <conditionalFormatting sqref="C14">
    <cfRule type="expression" dxfId="43" priority="23">
      <formula>$C$3=$F$4</formula>
    </cfRule>
  </conditionalFormatting>
  <conditionalFormatting sqref="D14">
    <cfRule type="expression" dxfId="42" priority="42">
      <formula>$C$3=$G$4</formula>
    </cfRule>
  </conditionalFormatting>
  <conditionalFormatting sqref="E14">
    <cfRule type="expression" dxfId="41" priority="41">
      <formula>$C$3=$H$4</formula>
    </cfRule>
  </conditionalFormatting>
  <conditionalFormatting sqref="F14">
    <cfRule type="expression" dxfId="40" priority="40">
      <formula>$C$3=$I$4</formula>
    </cfRule>
  </conditionalFormatting>
  <conditionalFormatting sqref="G14">
    <cfRule type="expression" dxfId="39" priority="39">
      <formula>$C$3=$J$4</formula>
    </cfRule>
  </conditionalFormatting>
  <conditionalFormatting sqref="H14">
    <cfRule type="expression" dxfId="38" priority="38">
      <formula>$C$3=$K$4</formula>
    </cfRule>
  </conditionalFormatting>
  <conditionalFormatting sqref="I14">
    <cfRule type="expression" dxfId="37" priority="37">
      <formula>$C$3=$L$4</formula>
    </cfRule>
  </conditionalFormatting>
  <conditionalFormatting sqref="J14">
    <cfRule type="expression" dxfId="36" priority="36">
      <formula>$C$3=$M$4</formula>
    </cfRule>
  </conditionalFormatting>
  <conditionalFormatting sqref="K14">
    <cfRule type="expression" dxfId="35" priority="35">
      <formula>$C$3=$N$4</formula>
    </cfRule>
  </conditionalFormatting>
  <conditionalFormatting sqref="L14">
    <cfRule type="expression" dxfId="34" priority="34">
      <formula>$C$3=$O$4</formula>
    </cfRule>
  </conditionalFormatting>
  <conditionalFormatting sqref="M14">
    <cfRule type="expression" dxfId="33" priority="33">
      <formula>$C$3=$P$4</formula>
    </cfRule>
  </conditionalFormatting>
  <conditionalFormatting sqref="N14">
    <cfRule type="expression" dxfId="32" priority="32">
      <formula>$C$3=$Q$4</formula>
    </cfRule>
  </conditionalFormatting>
  <conditionalFormatting sqref="O14">
    <cfRule type="expression" dxfId="31" priority="31">
      <formula>$C$3=$R$4</formula>
    </cfRule>
  </conditionalFormatting>
  <conditionalFormatting sqref="P14">
    <cfRule type="expression" dxfId="30" priority="30">
      <formula>$C$3=$S$4</formula>
    </cfRule>
  </conditionalFormatting>
  <conditionalFormatting sqref="Q14">
    <cfRule type="expression" dxfId="29" priority="29">
      <formula>$C$3=$T$4</formula>
    </cfRule>
  </conditionalFormatting>
  <conditionalFormatting sqref="R14">
    <cfRule type="expression" dxfId="28" priority="28">
      <formula>$C$3=$U$4</formula>
    </cfRule>
  </conditionalFormatting>
  <conditionalFormatting sqref="S14">
    <cfRule type="expression" dxfId="27" priority="27">
      <formula>$C$3=$V$4</formula>
    </cfRule>
  </conditionalFormatting>
  <conditionalFormatting sqref="T14">
    <cfRule type="expression" dxfId="26" priority="26">
      <formula>$C$3=$W$4</formula>
    </cfRule>
  </conditionalFormatting>
  <conditionalFormatting sqref="U14">
    <cfRule type="expression" dxfId="25" priority="25">
      <formula>$C$3=$X$4</formula>
    </cfRule>
  </conditionalFormatting>
  <conditionalFormatting sqref="V14">
    <cfRule type="expression" dxfId="24" priority="24">
      <formula>$C$3=$Y$4</formula>
    </cfRule>
  </conditionalFormatting>
  <conditionalFormatting sqref="C25">
    <cfRule type="expression" dxfId="23" priority="1">
      <formula>$C$3=$F$4</formula>
    </cfRule>
  </conditionalFormatting>
  <conditionalFormatting sqref="D25">
    <cfRule type="expression" dxfId="22" priority="20">
      <formula>$C$3=$G$4</formula>
    </cfRule>
  </conditionalFormatting>
  <conditionalFormatting sqref="E25">
    <cfRule type="expression" dxfId="21" priority="19">
      <formula>$C$3=$H$4</formula>
    </cfRule>
  </conditionalFormatting>
  <conditionalFormatting sqref="F25">
    <cfRule type="expression" dxfId="20" priority="18">
      <formula>$C$3=$I$4</formula>
    </cfRule>
  </conditionalFormatting>
  <conditionalFormatting sqref="G25">
    <cfRule type="expression" dxfId="19" priority="17">
      <formula>$C$3=$J$4</formula>
    </cfRule>
  </conditionalFormatting>
  <conditionalFormatting sqref="H25">
    <cfRule type="expression" dxfId="18" priority="16">
      <formula>$C$3=$K$4</formula>
    </cfRule>
  </conditionalFormatting>
  <conditionalFormatting sqref="I25">
    <cfRule type="expression" dxfId="17" priority="15">
      <formula>$C$3=$L$4</formula>
    </cfRule>
  </conditionalFormatting>
  <conditionalFormatting sqref="J25">
    <cfRule type="expression" dxfId="16" priority="14">
      <formula>$C$3=$M$4</formula>
    </cfRule>
  </conditionalFormatting>
  <conditionalFormatting sqref="K25">
    <cfRule type="expression" dxfId="15" priority="13">
      <formula>$C$3=$N$4</formula>
    </cfRule>
  </conditionalFormatting>
  <conditionalFormatting sqref="L25">
    <cfRule type="expression" dxfId="14" priority="12">
      <formula>$C$3=$O$4</formula>
    </cfRule>
  </conditionalFormatting>
  <conditionalFormatting sqref="M25">
    <cfRule type="expression" dxfId="13" priority="11">
      <formula>$C$3=$P$4</formula>
    </cfRule>
  </conditionalFormatting>
  <conditionalFormatting sqref="N25">
    <cfRule type="expression" dxfId="12" priority="10">
      <formula>$C$3=$Q$4</formula>
    </cfRule>
  </conditionalFormatting>
  <conditionalFormatting sqref="O25">
    <cfRule type="expression" dxfId="11" priority="9">
      <formula>$C$3=$R$4</formula>
    </cfRule>
  </conditionalFormatting>
  <conditionalFormatting sqref="P25">
    <cfRule type="expression" dxfId="10" priority="8">
      <formula>$C$3=$S$4</formula>
    </cfRule>
  </conditionalFormatting>
  <conditionalFormatting sqref="Q25">
    <cfRule type="expression" dxfId="9" priority="7">
      <formula>$C$3=$T$4</formula>
    </cfRule>
  </conditionalFormatting>
  <conditionalFormatting sqref="R25">
    <cfRule type="expression" dxfId="8" priority="6">
      <formula>$C$3=$U$4</formula>
    </cfRule>
  </conditionalFormatting>
  <conditionalFormatting sqref="S25">
    <cfRule type="expression" dxfId="7" priority="5">
      <formula>$C$3=$V$4</formula>
    </cfRule>
  </conditionalFormatting>
  <conditionalFormatting sqref="T25">
    <cfRule type="expression" dxfId="6" priority="4">
      <formula>$C$3=$W$4</formula>
    </cfRule>
  </conditionalFormatting>
  <conditionalFormatting sqref="U25">
    <cfRule type="expression" dxfId="5" priority="3">
      <formula>$C$3=$X$4</formula>
    </cfRule>
  </conditionalFormatting>
  <conditionalFormatting sqref="V25">
    <cfRule type="expression" dxfId="4" priority="2">
      <formula>$C$3=$Y$4</formula>
    </cfRule>
  </conditionalFormatting>
  <pageMargins left="0.7" right="0.7" top="0.78740157499999996" bottom="0.78740157499999996" header="0.3" footer="0.3"/>
  <extLst>
    <ext xmlns:x14="http://schemas.microsoft.com/office/spreadsheetml/2009/9/main" uri="{78C0D931-6437-407d-A8EE-F0AAD7539E65}">
      <x14:conditionalFormattings>
        <x14:conditionalFormatting xmlns:xm="http://schemas.microsoft.com/office/excel/2006/main">
          <x14:cfRule type="expression" priority="64" id="{411FFE94-3875-4DF7-84F0-DB4850F4F7AE}">
            <xm:f>'C:\Users\Praktikant1\AppData\Local\Microsoft\Windows\Temporary Internet Files\Content.Outlook\BWHQ2UNQ\[150522_Kosten und Erlöse.xlsx]Ergebnisse'!#REF!=1</xm:f>
            <x14:dxf>
              <fill>
                <patternFill>
                  <bgColor theme="5" tint="0.59996337778862885"/>
                </patternFill>
              </fill>
            </x14:dxf>
          </x14:cfRule>
          <xm:sqref>C3:V8 C10:V13 C15:V18 C43:C44 C26:V28 C22:V24 C29:C30</xm:sqref>
        </x14:conditionalFormatting>
        <x14:conditionalFormatting xmlns:xm="http://schemas.microsoft.com/office/excel/2006/main">
          <x14:cfRule type="expression" priority="63" id="{531F0ACE-319B-4429-9BCC-31E8D6EA9E26}">
            <xm:f>'C:\Users\Praktikant1\AppData\Local\Microsoft\Windows\Temporary Internet Files\Content.Outlook\BWHQ2UNQ\[150522_Kosten und Erlöse.xlsx]Ergebnisse'!#REF!=1</xm:f>
            <x14:dxf>
              <fill>
                <patternFill>
                  <bgColor theme="7" tint="0.79998168889431442"/>
                </patternFill>
              </fill>
            </x14:dxf>
          </x14:cfRule>
          <xm:sqref>C3:V8 C10:V13 C15:V18 C43:C44 C26:V28 C22:V24 C29:C30</xm:sqref>
        </x14:conditionalFormatting>
        <x14:conditionalFormatting xmlns:xm="http://schemas.microsoft.com/office/excel/2006/main">
          <x14:cfRule type="expression" priority="22" id="{761EDEAD-E5D1-4ACE-977C-3A3BB0144D16}">
            <xm:f>'C:\Users\Praktikant1\AppData\Local\Microsoft\Windows\Temporary Internet Files\Content.Outlook\BWHQ2UNQ\[150522_Kosten und Erlöse.xlsx]Ergebnisse'!#REF!=1</xm:f>
            <x14:dxf>
              <fill>
                <patternFill>
                  <bgColor theme="5" tint="0.59996337778862885"/>
                </patternFill>
              </fill>
            </x14:dxf>
          </x14:cfRule>
          <xm:sqref>C31:V36 C38:V40</xm:sqref>
        </x14:conditionalFormatting>
        <x14:conditionalFormatting xmlns:xm="http://schemas.microsoft.com/office/excel/2006/main">
          <x14:cfRule type="expression" priority="21" id="{4F810060-3ED4-41FA-9456-5D7CD307C490}">
            <xm:f>'C:\Users\Praktikant1\AppData\Local\Microsoft\Windows\Temporary Internet Files\Content.Outlook\BWHQ2UNQ\[150522_Kosten und Erlöse.xlsx]Ergebnisse'!#REF!=1</xm:f>
            <x14:dxf>
              <fill>
                <patternFill>
                  <bgColor theme="7" tint="0.79998168889431442"/>
                </patternFill>
              </fill>
            </x14:dxf>
          </x14:cfRule>
          <xm:sqref>C31:V36 C38:V40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Erläuterungen</vt:lpstr>
      <vt:lpstr>Eingabemaske</vt:lpstr>
      <vt:lpstr>Analyse 1</vt:lpstr>
      <vt:lpstr>Analyse 2</vt:lpstr>
      <vt:lpstr>Wirtschaftlichkeit</vt:lpstr>
      <vt:lpstr>Berechnungen_Lastgang</vt:lpstr>
      <vt:lpstr>Berechnung_Diagramme</vt:lpstr>
      <vt:lpstr>Eingabemaske!Druckbereich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Jürgen Stefan Kukuk</dc:creator>
  <cp:lastModifiedBy>Leon Hagemann</cp:lastModifiedBy>
  <cp:lastPrinted>2015-08-04T10:05:41Z</cp:lastPrinted>
  <dcterms:created xsi:type="dcterms:W3CDTF">2014-05-12T15:42:46Z</dcterms:created>
  <dcterms:modified xsi:type="dcterms:W3CDTF">2016-07-27T10:13:45Z</dcterms:modified>
</cp:coreProperties>
</file>